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記載例" sheetId="1" r:id="rId1"/>
    <sheet name="様式（県・市町村支援有り）" sheetId="2" r:id="rId2"/>
    <sheet name="様式（市町村支援のみ）" sheetId="3" r:id="rId3"/>
    <sheet name="様式（県・市町村支援なし）" sheetId="4" r:id="rId4"/>
  </sheets>
  <definedNames>
    <definedName name="_xlnm.Print_Area" localSheetId="0">'記載例'!$A$1:$I$44</definedName>
    <definedName name="_xlnm.Print_Area" localSheetId="3">'様式（県・市町村支援なし）'!$A$1:$I$44</definedName>
    <definedName name="_xlnm.Print_Area" localSheetId="1">'様式（県・市町村支援有り）'!$A$1:$I$44</definedName>
    <definedName name="_xlnm.Print_Area" localSheetId="2">'様式（市町村支援のみ）'!$A$1:$I$44</definedName>
  </definedNames>
  <calcPr fullCalcOnLoad="1"/>
</workbook>
</file>

<file path=xl/sharedStrings.xml><?xml version="1.0" encoding="utf-8"?>
<sst xmlns="http://schemas.openxmlformats.org/spreadsheetml/2006/main" count="164" uniqueCount="57">
  <si>
    <t>取組メニュー</t>
  </si>
  <si>
    <t>交付単価等</t>
  </si>
  <si>
    <t>森林面積等</t>
  </si>
  <si>
    <t>初年度のみ</t>
  </si>
  <si>
    <t>森林資源利用タイプ</t>
  </si>
  <si>
    <t>小　計</t>
  </si>
  <si>
    <t>1/2以内</t>
  </si>
  <si>
    <t>計</t>
  </si>
  <si>
    <t>(別紙)</t>
  </si>
  <si>
    <t>のセルに入力して下さい</t>
  </si>
  <si>
    <t xml:space="preserve"> ※各メニュー上段（）に変更前の数値（採択通知時の全て）、下段に変更後の数値（変更の無い箇所も全て）の数値を入力して下さい。</t>
  </si>
  <si>
    <t>森林・山村多面的機能発揮対策交付金 一覧</t>
  </si>
  <si>
    <t>活動推進費</t>
  </si>
  <si>
    <t>地域環境保全タイプ
（里山林保全）</t>
  </si>
  <si>
    <t>森林機能強化タイプ</t>
  </si>
  <si>
    <t>当該年度に長期にわたり手入れをしていなかったと考えられる森林を整備する面積</t>
  </si>
  <si>
    <t>減額</t>
  </si>
  <si>
    <t>率</t>
  </si>
  <si>
    <t>1/3以内</t>
  </si>
  <si>
    <t>計</t>
  </si>
  <si>
    <t>間伐等（除伐、枝打ちを含む）の実施面積</t>
  </si>
  <si>
    <t>市町村の
支援額</t>
  </si>
  <si>
    <t>都道府県
の支援額</t>
  </si>
  <si>
    <t xml:space="preserve">交付金額
</t>
  </si>
  <si>
    <t>関係人口創出・維持タイプ</t>
  </si>
  <si>
    <t>資機材・施設の整備等</t>
  </si>
  <si>
    <t>地域環境保全タイプ
（侵入竹除去・竹林整備）</t>
  </si>
  <si>
    <t>153,000円/ha</t>
  </si>
  <si>
    <t>146,000円/ha</t>
  </si>
  <si>
    <t>160,000円/ha</t>
  </si>
  <si>
    <t>380,000円/ha</t>
  </si>
  <si>
    <t>353,000円/ha</t>
  </si>
  <si>
    <t>326,000円/ha</t>
  </si>
  <si>
    <t>66,000円/年</t>
  </si>
  <si>
    <t>（注）面積は0.1ha単位で記入（0.1ha未満切り捨て）。</t>
  </si>
  <si>
    <t>150,000円</t>
  </si>
  <si>
    <t>活動組織名</t>
  </si>
  <si>
    <t>120,000円/ha</t>
  </si>
  <si>
    <t>115,000円/ha</t>
  </si>
  <si>
    <t>110,000円/ha</t>
  </si>
  <si>
    <t>285,000円/ha</t>
  </si>
  <si>
    <t>265,000円/ha</t>
  </si>
  <si>
    <t>245,000円/ha</t>
  </si>
  <si>
    <t>800円/ｍ</t>
  </si>
  <si>
    <t>112,500円</t>
  </si>
  <si>
    <t>140,000円/ha</t>
  </si>
  <si>
    <t>134,000円/ha</t>
  </si>
  <si>
    <t>128,000円/ha</t>
  </si>
  <si>
    <t>332,500円/ha</t>
  </si>
  <si>
    <t>309,000円/ha</t>
  </si>
  <si>
    <t>285,500円/ha</t>
  </si>
  <si>
    <t>900円/ｍ</t>
  </si>
  <si>
    <t>1,000円/ｍ</t>
  </si>
  <si>
    <t>58,000円/年</t>
  </si>
  <si>
    <t>50,000円/年</t>
  </si>
  <si>
    <t>131,250円</t>
  </si>
  <si>
    <t>交付単価等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</si>
</sst>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　　&quot;"/>
    <numFmt numFmtId="177" formatCode="General&quot;ha　&quot;"/>
    <numFmt numFmtId="178" formatCode="General&quot;回　&quot;"/>
    <numFmt numFmtId="179" formatCode="&quot;（&quot;#,##0&quot;）　　&quot;"/>
    <numFmt numFmtId="180" formatCode="#,##0&quot;円　&quot;"/>
    <numFmt numFmtId="181" formatCode="0.0"/>
    <numFmt numFmtId="182" formatCode="&quot;（&quot;0.0&quot;）　　&quot;"/>
    <numFmt numFmtId="183" formatCode="0.0&quot;ha　&quot;"/>
    <numFmt numFmtId="184" formatCode="0&quot;ｍ　&quot;"/>
    <numFmt numFmtId="185" formatCode="&quot;（&quot;0&quot;）　　&quot;"/>
  </numFmts>
  <fonts count="45">
    <font>
      <sz val="11"/>
      <color indexed="8"/>
      <name val="Calibri"/>
      <family val="3"/>
    </font>
    <font>
      <sz val="11"/>
      <color indexed="8"/>
      <name val="ＭＳ Ｐゴシック"/>
      <family val="3"/>
    </font>
    <font>
      <sz val="6"/>
      <name val="ＭＳ Ｐゴシック"/>
      <family val="3"/>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u val="single"/>
      <sz val="11"/>
      <color indexed="8"/>
      <name val="ＭＳ Ｐゴシック"/>
      <family val="3"/>
    </font>
    <font>
      <sz val="11"/>
      <color indexed="3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indexed="8"/>
      <name val="Calibri"/>
      <family val="3"/>
    </font>
    <font>
      <u val="single"/>
      <sz val="11"/>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dashed"/>
      <bottom>
        <color indexed="63"/>
      </bottom>
    </border>
    <border>
      <left style="thin"/>
      <right style="thin"/>
      <top>
        <color indexed="63"/>
      </top>
      <bottom style="dashed"/>
    </border>
    <border>
      <left style="thin"/>
      <right style="thin"/>
      <top>
        <color indexed="63"/>
      </top>
      <bottom style="hair"/>
    </border>
    <border>
      <left style="thin"/>
      <right style="thin"/>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style="thin"/>
      <top style="dotted"/>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29" fillId="0" borderId="0" applyNumberFormat="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76">
    <xf numFmtId="0" fontId="0" fillId="0" borderId="0" xfId="0" applyFont="1" applyAlignment="1">
      <alignment vertical="center"/>
    </xf>
    <xf numFmtId="0" fontId="3" fillId="0" borderId="0" xfId="0" applyFont="1" applyAlignment="1">
      <alignment vertical="center"/>
    </xf>
    <xf numFmtId="38" fontId="0" fillId="0" borderId="0" xfId="49" applyFont="1" applyAlignment="1">
      <alignment vertical="center"/>
    </xf>
    <xf numFmtId="179" fontId="0" fillId="0" borderId="10" xfId="0" applyNumberFormat="1" applyFont="1" applyBorder="1" applyAlignment="1">
      <alignment vertical="center"/>
    </xf>
    <xf numFmtId="180" fontId="0" fillId="0" borderId="11" xfId="0" applyNumberFormat="1" applyFont="1" applyBorder="1" applyAlignment="1">
      <alignment vertical="center"/>
    </xf>
    <xf numFmtId="0" fontId="0" fillId="0" borderId="0" xfId="0" applyFont="1" applyFill="1" applyAlignment="1">
      <alignment vertical="center"/>
    </xf>
    <xf numFmtId="0" fontId="0" fillId="33" borderId="12" xfId="0" applyFont="1" applyFill="1" applyBorder="1" applyAlignment="1">
      <alignment vertical="center"/>
    </xf>
    <xf numFmtId="179" fontId="33" fillId="33" borderId="10" xfId="0" applyNumberFormat="1" applyFont="1" applyFill="1" applyBorder="1" applyAlignment="1">
      <alignment vertical="center"/>
    </xf>
    <xf numFmtId="180" fontId="33" fillId="33" borderId="11" xfId="0" applyNumberFormat="1" applyFont="1" applyFill="1" applyBorder="1" applyAlignment="1">
      <alignment vertical="center"/>
    </xf>
    <xf numFmtId="180" fontId="0" fillId="0" borderId="0" xfId="0" applyNumberFormat="1" applyFont="1" applyAlignment="1">
      <alignment vertical="center"/>
    </xf>
    <xf numFmtId="38" fontId="43" fillId="0" borderId="0" xfId="49" applyFont="1" applyAlignment="1">
      <alignment vertical="center"/>
    </xf>
    <xf numFmtId="40" fontId="43" fillId="0" borderId="0" xfId="49" applyNumberFormat="1" applyFont="1" applyAlignment="1">
      <alignment vertical="center"/>
    </xf>
    <xf numFmtId="2" fontId="43" fillId="0" borderId="0" xfId="0" applyNumberFormat="1" applyFont="1" applyAlignment="1">
      <alignment vertical="center"/>
    </xf>
    <xf numFmtId="0" fontId="0" fillId="0" borderId="13" xfId="0" applyFont="1" applyBorder="1" applyAlignment="1">
      <alignment horizontal="left" vertical="center"/>
    </xf>
    <xf numFmtId="0" fontId="0" fillId="0" borderId="13" xfId="0" applyFont="1" applyBorder="1" applyAlignment="1">
      <alignment horizontal="center" vertical="center"/>
    </xf>
    <xf numFmtId="180" fontId="0" fillId="0" borderId="13" xfId="0" applyNumberFormat="1" applyFont="1" applyBorder="1" applyAlignment="1">
      <alignment vertical="center"/>
    </xf>
    <xf numFmtId="181" fontId="0" fillId="0" borderId="0" xfId="0" applyNumberFormat="1" applyFont="1" applyAlignment="1">
      <alignment vertical="center"/>
    </xf>
    <xf numFmtId="180" fontId="33" fillId="33" borderId="14" xfId="0" applyNumberFormat="1" applyFont="1" applyFill="1" applyBorder="1" applyAlignment="1">
      <alignment vertical="center"/>
    </xf>
    <xf numFmtId="182" fontId="33" fillId="33" borderId="14" xfId="0" applyNumberFormat="1" applyFont="1" applyFill="1" applyBorder="1" applyAlignment="1">
      <alignment vertical="center"/>
    </xf>
    <xf numFmtId="179" fontId="0" fillId="0" borderId="14" xfId="0" applyNumberFormat="1" applyFont="1" applyBorder="1" applyAlignment="1">
      <alignment vertical="center"/>
    </xf>
    <xf numFmtId="182" fontId="33" fillId="33" borderId="15" xfId="0" applyNumberFormat="1" applyFont="1" applyFill="1" applyBorder="1" applyAlignment="1">
      <alignment vertical="center"/>
    </xf>
    <xf numFmtId="179" fontId="0" fillId="0" borderId="15" xfId="0" applyNumberFormat="1" applyFont="1" applyBorder="1" applyAlignment="1">
      <alignment vertical="center"/>
    </xf>
    <xf numFmtId="183" fontId="33" fillId="33" borderId="16" xfId="0" applyNumberFormat="1" applyFont="1" applyFill="1" applyBorder="1" applyAlignment="1">
      <alignment vertical="center"/>
    </xf>
    <xf numFmtId="180" fontId="0" fillId="0" borderId="16" xfId="0" applyNumberFormat="1" applyFont="1" applyBorder="1" applyAlignment="1">
      <alignment vertical="center"/>
    </xf>
    <xf numFmtId="183" fontId="33" fillId="33" borderId="17" xfId="0" applyNumberFormat="1" applyFont="1" applyFill="1" applyBorder="1" applyAlignment="1">
      <alignment vertical="center"/>
    </xf>
    <xf numFmtId="180" fontId="0" fillId="0" borderId="17" xfId="0" applyNumberFormat="1" applyFont="1" applyBorder="1" applyAlignment="1">
      <alignment vertical="center"/>
    </xf>
    <xf numFmtId="176" fontId="33" fillId="33" borderId="15" xfId="0" applyNumberFormat="1" applyFont="1" applyFill="1" applyBorder="1" applyAlignment="1">
      <alignment vertical="center"/>
    </xf>
    <xf numFmtId="184" fontId="33" fillId="33" borderId="17" xfId="0" applyNumberFormat="1" applyFont="1" applyFill="1" applyBorder="1" applyAlignment="1">
      <alignment vertical="center"/>
    </xf>
    <xf numFmtId="185" fontId="33" fillId="33" borderId="15" xfId="0" applyNumberFormat="1" applyFont="1" applyFill="1" applyBorder="1" applyAlignment="1">
      <alignment vertical="center"/>
    </xf>
    <xf numFmtId="180" fontId="0" fillId="0" borderId="18" xfId="0" applyNumberFormat="1" applyFont="1" applyBorder="1" applyAlignment="1">
      <alignment vertical="center"/>
    </xf>
    <xf numFmtId="38" fontId="43" fillId="0" borderId="19" xfId="49" applyFont="1" applyBorder="1" applyAlignment="1">
      <alignment horizontal="center" vertical="center"/>
    </xf>
    <xf numFmtId="0" fontId="43" fillId="0" borderId="0" xfId="0" applyFont="1" applyFill="1" applyBorder="1" applyAlignment="1">
      <alignment horizontal="center" vertical="center"/>
    </xf>
    <xf numFmtId="182" fontId="33" fillId="33" borderId="20" xfId="0" applyNumberFormat="1" applyFont="1" applyFill="1" applyBorder="1" applyAlignment="1">
      <alignment vertical="center"/>
    </xf>
    <xf numFmtId="179" fontId="0" fillId="0" borderId="20" xfId="0" applyNumberFormat="1" applyFont="1" applyBorder="1" applyAlignment="1">
      <alignment vertical="center"/>
    </xf>
    <xf numFmtId="183" fontId="33" fillId="33" borderId="11" xfId="0" applyNumberFormat="1" applyFont="1" applyFill="1" applyBorder="1" applyAlignment="1">
      <alignment vertical="center"/>
    </xf>
    <xf numFmtId="179" fontId="33" fillId="33" borderId="21" xfId="0" applyNumberFormat="1" applyFont="1" applyFill="1" applyBorder="1" applyAlignment="1">
      <alignment vertical="center"/>
    </xf>
    <xf numFmtId="182" fontId="33" fillId="0" borderId="14" xfId="0" applyNumberFormat="1" applyFont="1" applyFill="1" applyBorder="1" applyAlignment="1">
      <alignment vertical="center"/>
    </xf>
    <xf numFmtId="183" fontId="33" fillId="0" borderId="17" xfId="0" applyNumberFormat="1" applyFont="1" applyFill="1" applyBorder="1" applyAlignment="1">
      <alignment vertical="center"/>
    </xf>
    <xf numFmtId="179" fontId="33" fillId="0" borderId="10" xfId="0" applyNumberFormat="1" applyFont="1" applyFill="1" applyBorder="1" applyAlignment="1">
      <alignment vertical="center"/>
    </xf>
    <xf numFmtId="180" fontId="33" fillId="0" borderId="14" xfId="0" applyNumberFormat="1" applyFont="1" applyFill="1" applyBorder="1" applyAlignment="1">
      <alignment vertical="center"/>
    </xf>
    <xf numFmtId="179" fontId="33" fillId="0" borderId="21" xfId="0" applyNumberFormat="1" applyFont="1" applyFill="1" applyBorder="1" applyAlignment="1">
      <alignment vertical="center"/>
    </xf>
    <xf numFmtId="180" fontId="33" fillId="0" borderId="11" xfId="0" applyNumberFormat="1" applyFont="1" applyFill="1" applyBorder="1" applyAlignment="1">
      <alignment vertical="center"/>
    </xf>
    <xf numFmtId="182" fontId="33" fillId="0" borderId="20" xfId="0" applyNumberFormat="1" applyFont="1" applyFill="1" applyBorder="1" applyAlignment="1">
      <alignment vertical="center"/>
    </xf>
    <xf numFmtId="183" fontId="33" fillId="0" borderId="11" xfId="0" applyNumberFormat="1" applyFont="1" applyFill="1" applyBorder="1" applyAlignment="1">
      <alignment vertical="center"/>
    </xf>
    <xf numFmtId="0" fontId="0" fillId="0"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179" fontId="0" fillId="0" borderId="10" xfId="49" applyNumberFormat="1" applyFont="1" applyFill="1" applyBorder="1" applyAlignment="1">
      <alignment horizontal="center" vertical="center"/>
    </xf>
    <xf numFmtId="180" fontId="0" fillId="0" borderId="14" xfId="49" applyNumberFormat="1" applyFont="1" applyFill="1" applyBorder="1" applyAlignment="1">
      <alignment horizontal="center" vertical="center"/>
    </xf>
    <xf numFmtId="0" fontId="33" fillId="33" borderId="17" xfId="0" applyNumberFormat="1" applyFont="1" applyFill="1" applyBorder="1" applyAlignment="1">
      <alignment vertical="center"/>
    </xf>
    <xf numFmtId="0" fontId="0" fillId="0" borderId="0" xfId="0" applyFont="1" applyFill="1" applyAlignment="1">
      <alignment horizontal="center" vertical="center"/>
    </xf>
    <xf numFmtId="0" fontId="0" fillId="0" borderId="12" xfId="0" applyFont="1" applyBorder="1" applyAlignment="1">
      <alignment horizontal="center"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left"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44" fillId="34" borderId="2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2</xdr:row>
      <xdr:rowOff>323850</xdr:rowOff>
    </xdr:from>
    <xdr:ext cx="904875" cy="276225"/>
    <xdr:sp>
      <xdr:nvSpPr>
        <xdr:cNvPr id="1" name="テキスト ボックス 1"/>
        <xdr:cNvSpPr txBox="1">
          <a:spLocks noChangeArrowheads="1"/>
        </xdr:cNvSpPr>
      </xdr:nvSpPr>
      <xdr:spPr>
        <a:xfrm>
          <a:off x="3476625" y="895350"/>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（国の支援額）</a:t>
          </a:r>
        </a:p>
      </xdr:txBody>
    </xdr:sp>
    <xdr:clientData/>
  </xdr:oneCellAnchor>
  <xdr:twoCellAnchor>
    <xdr:from>
      <xdr:col>1</xdr:col>
      <xdr:colOff>742950</xdr:colOff>
      <xdr:row>0</xdr:row>
      <xdr:rowOff>266700</xdr:rowOff>
    </xdr:from>
    <xdr:to>
      <xdr:col>1</xdr:col>
      <xdr:colOff>800100</xdr:colOff>
      <xdr:row>2</xdr:row>
      <xdr:rowOff>152400</xdr:rowOff>
    </xdr:to>
    <xdr:sp>
      <xdr:nvSpPr>
        <xdr:cNvPr id="2" name="直線矢印コネクタ 5"/>
        <xdr:cNvSpPr>
          <a:spLocks/>
        </xdr:cNvSpPr>
      </xdr:nvSpPr>
      <xdr:spPr>
        <a:xfrm flipV="1">
          <a:off x="2266950" y="266700"/>
          <a:ext cx="5715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447675</xdr:colOff>
      <xdr:row>0</xdr:row>
      <xdr:rowOff>9525</xdr:rowOff>
    </xdr:from>
    <xdr:ext cx="2428875" cy="276225"/>
    <xdr:sp>
      <xdr:nvSpPr>
        <xdr:cNvPr id="3" name="テキスト ボックス 6"/>
        <xdr:cNvSpPr txBox="1">
          <a:spLocks noChangeArrowheads="1"/>
        </xdr:cNvSpPr>
      </xdr:nvSpPr>
      <xdr:spPr>
        <a:xfrm>
          <a:off x="447675" y="9525"/>
          <a:ext cx="2428875"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国、都道府県、市町村の支援額の合計単価</a:t>
          </a:r>
        </a:p>
      </xdr:txBody>
    </xdr:sp>
    <xdr:clientData/>
  </xdr:oneCellAnchor>
  <xdr:twoCellAnchor>
    <xdr:from>
      <xdr:col>1</xdr:col>
      <xdr:colOff>847725</xdr:colOff>
      <xdr:row>5</xdr:row>
      <xdr:rowOff>0</xdr:rowOff>
    </xdr:from>
    <xdr:to>
      <xdr:col>3</xdr:col>
      <xdr:colOff>0</xdr:colOff>
      <xdr:row>22</xdr:row>
      <xdr:rowOff>266700</xdr:rowOff>
    </xdr:to>
    <xdr:sp>
      <xdr:nvSpPr>
        <xdr:cNvPr id="4" name="正方形/長方形 1"/>
        <xdr:cNvSpPr>
          <a:spLocks/>
        </xdr:cNvSpPr>
      </xdr:nvSpPr>
      <xdr:spPr>
        <a:xfrm>
          <a:off x="2371725" y="1743075"/>
          <a:ext cx="1038225" cy="5124450"/>
        </a:xfrm>
        <a:prstGeom prst="rect">
          <a:avLst/>
        </a:prstGeom>
        <a:no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866775</xdr:colOff>
      <xdr:row>2</xdr:row>
      <xdr:rowOff>571500</xdr:rowOff>
    </xdr:from>
    <xdr:ext cx="1266825" cy="276225"/>
    <xdr:sp>
      <xdr:nvSpPr>
        <xdr:cNvPr id="5" name="テキスト ボックス 6"/>
        <xdr:cNvSpPr txBox="1">
          <a:spLocks noChangeArrowheads="1"/>
        </xdr:cNvSpPr>
      </xdr:nvSpPr>
      <xdr:spPr>
        <a:xfrm>
          <a:off x="866775" y="1143000"/>
          <a:ext cx="1266825"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該当単価の欄に入力</a:t>
          </a:r>
        </a:p>
      </xdr:txBody>
    </xdr:sp>
    <xdr:clientData/>
  </xdr:oneCellAnchor>
  <xdr:twoCellAnchor>
    <xdr:from>
      <xdr:col>1</xdr:col>
      <xdr:colOff>609600</xdr:colOff>
      <xdr:row>3</xdr:row>
      <xdr:rowOff>104775</xdr:rowOff>
    </xdr:from>
    <xdr:to>
      <xdr:col>2</xdr:col>
      <xdr:colOff>123825</xdr:colOff>
      <xdr:row>4</xdr:row>
      <xdr:rowOff>257175</xdr:rowOff>
    </xdr:to>
    <xdr:sp>
      <xdr:nvSpPr>
        <xdr:cNvPr id="6" name="直線矢印コネクタ 5"/>
        <xdr:cNvSpPr>
          <a:spLocks/>
        </xdr:cNvSpPr>
      </xdr:nvSpPr>
      <xdr:spPr>
        <a:xfrm>
          <a:off x="2133600" y="1276350"/>
          <a:ext cx="371475"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476250</xdr:colOff>
      <xdr:row>0</xdr:row>
      <xdr:rowOff>152400</xdr:rowOff>
    </xdr:from>
    <xdr:to>
      <xdr:col>3</xdr:col>
      <xdr:colOff>895350</xdr:colOff>
      <xdr:row>1</xdr:row>
      <xdr:rowOff>209550</xdr:rowOff>
    </xdr:to>
    <xdr:sp>
      <xdr:nvSpPr>
        <xdr:cNvPr id="7" name="テキスト ボックス 12"/>
        <xdr:cNvSpPr txBox="1">
          <a:spLocks noChangeArrowheads="1"/>
        </xdr:cNvSpPr>
      </xdr:nvSpPr>
      <xdr:spPr>
        <a:xfrm>
          <a:off x="2857500" y="152400"/>
          <a:ext cx="1447800" cy="342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県・市町村　支援あり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2</xdr:row>
      <xdr:rowOff>323850</xdr:rowOff>
    </xdr:from>
    <xdr:ext cx="828675" cy="209550"/>
    <xdr:sp>
      <xdr:nvSpPr>
        <xdr:cNvPr id="1" name="テキスト ボックス 1"/>
        <xdr:cNvSpPr txBox="1">
          <a:spLocks noChangeArrowheads="1"/>
        </xdr:cNvSpPr>
      </xdr:nvSpPr>
      <xdr:spPr>
        <a:xfrm>
          <a:off x="3476625" y="895350"/>
          <a:ext cx="828675" cy="209550"/>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（国の支援額）</a:t>
          </a:r>
        </a:p>
      </xdr:txBody>
    </xdr:sp>
    <xdr:clientData/>
  </xdr:oneCellAnchor>
  <xdr:twoCellAnchor>
    <xdr:from>
      <xdr:col>2</xdr:col>
      <xdr:colOff>476250</xdr:colOff>
      <xdr:row>0</xdr:row>
      <xdr:rowOff>133350</xdr:rowOff>
    </xdr:from>
    <xdr:to>
      <xdr:col>3</xdr:col>
      <xdr:colOff>895350</xdr:colOff>
      <xdr:row>1</xdr:row>
      <xdr:rowOff>190500</xdr:rowOff>
    </xdr:to>
    <xdr:sp>
      <xdr:nvSpPr>
        <xdr:cNvPr id="2" name="テキスト ボックス 7"/>
        <xdr:cNvSpPr txBox="1">
          <a:spLocks noChangeArrowheads="1"/>
        </xdr:cNvSpPr>
      </xdr:nvSpPr>
      <xdr:spPr>
        <a:xfrm>
          <a:off x="2857500" y="133350"/>
          <a:ext cx="1447800" cy="342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県・市町村　支援あり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2</xdr:row>
      <xdr:rowOff>323850</xdr:rowOff>
    </xdr:from>
    <xdr:ext cx="904875" cy="276225"/>
    <xdr:sp>
      <xdr:nvSpPr>
        <xdr:cNvPr id="1" name="テキスト ボックス 1"/>
        <xdr:cNvSpPr txBox="1">
          <a:spLocks noChangeArrowheads="1"/>
        </xdr:cNvSpPr>
      </xdr:nvSpPr>
      <xdr:spPr>
        <a:xfrm>
          <a:off x="3476625" y="895350"/>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（国の支援額）</a:t>
          </a:r>
        </a:p>
      </xdr:txBody>
    </xdr:sp>
    <xdr:clientData/>
  </xdr:oneCellAnchor>
  <xdr:twoCellAnchor>
    <xdr:from>
      <xdr:col>2</xdr:col>
      <xdr:colOff>485775</xdr:colOff>
      <xdr:row>0</xdr:row>
      <xdr:rowOff>133350</xdr:rowOff>
    </xdr:from>
    <xdr:to>
      <xdr:col>3</xdr:col>
      <xdr:colOff>904875</xdr:colOff>
      <xdr:row>1</xdr:row>
      <xdr:rowOff>190500</xdr:rowOff>
    </xdr:to>
    <xdr:sp>
      <xdr:nvSpPr>
        <xdr:cNvPr id="2" name="テキスト ボックス 2"/>
        <xdr:cNvSpPr txBox="1">
          <a:spLocks noChangeArrowheads="1"/>
        </xdr:cNvSpPr>
      </xdr:nvSpPr>
      <xdr:spPr>
        <a:xfrm>
          <a:off x="2867025" y="133350"/>
          <a:ext cx="1447800" cy="342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市町村　支援のみ</a:t>
          </a:r>
        </a:p>
      </xdr:txBody>
    </xdr:sp>
    <xdr:clientData/>
  </xdr:twoCellAnchor>
  <xdr:twoCellAnchor>
    <xdr:from>
      <xdr:col>4</xdr:col>
      <xdr:colOff>0</xdr:colOff>
      <xdr:row>3</xdr:row>
      <xdr:rowOff>0</xdr:rowOff>
    </xdr:from>
    <xdr:to>
      <xdr:col>4</xdr:col>
      <xdr:colOff>1000125</xdr:colOff>
      <xdr:row>29</xdr:row>
      <xdr:rowOff>0</xdr:rowOff>
    </xdr:to>
    <xdr:sp>
      <xdr:nvSpPr>
        <xdr:cNvPr id="3" name="直線コネクタ 3"/>
        <xdr:cNvSpPr>
          <a:spLocks/>
        </xdr:cNvSpPr>
      </xdr:nvSpPr>
      <xdr:spPr>
        <a:xfrm>
          <a:off x="4438650" y="1171575"/>
          <a:ext cx="1000125" cy="7429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2</xdr:row>
      <xdr:rowOff>323850</xdr:rowOff>
    </xdr:from>
    <xdr:ext cx="904875" cy="276225"/>
    <xdr:sp>
      <xdr:nvSpPr>
        <xdr:cNvPr id="1" name="テキスト ボックス 1"/>
        <xdr:cNvSpPr txBox="1">
          <a:spLocks noChangeArrowheads="1"/>
        </xdr:cNvSpPr>
      </xdr:nvSpPr>
      <xdr:spPr>
        <a:xfrm>
          <a:off x="3476625" y="895350"/>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（国の支援額）</a:t>
          </a:r>
        </a:p>
      </xdr:txBody>
    </xdr:sp>
    <xdr:clientData/>
  </xdr:oneCellAnchor>
  <xdr:twoCellAnchor>
    <xdr:from>
      <xdr:col>2</xdr:col>
      <xdr:colOff>523875</xdr:colOff>
      <xdr:row>0</xdr:row>
      <xdr:rowOff>142875</xdr:rowOff>
    </xdr:from>
    <xdr:to>
      <xdr:col>3</xdr:col>
      <xdr:colOff>942975</xdr:colOff>
      <xdr:row>1</xdr:row>
      <xdr:rowOff>200025</xdr:rowOff>
    </xdr:to>
    <xdr:sp>
      <xdr:nvSpPr>
        <xdr:cNvPr id="2" name="テキスト ボックス 2"/>
        <xdr:cNvSpPr txBox="1">
          <a:spLocks noChangeArrowheads="1"/>
        </xdr:cNvSpPr>
      </xdr:nvSpPr>
      <xdr:spPr>
        <a:xfrm>
          <a:off x="2905125" y="142875"/>
          <a:ext cx="1447800" cy="342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県・市町村　支援なし</a:t>
          </a:r>
        </a:p>
      </xdr:txBody>
    </xdr:sp>
    <xdr:clientData/>
  </xdr:twoCellAnchor>
  <xdr:twoCellAnchor>
    <xdr:from>
      <xdr:col>4</xdr:col>
      <xdr:colOff>19050</xdr:colOff>
      <xdr:row>3</xdr:row>
      <xdr:rowOff>9525</xdr:rowOff>
    </xdr:from>
    <xdr:to>
      <xdr:col>4</xdr:col>
      <xdr:colOff>1009650</xdr:colOff>
      <xdr:row>29</xdr:row>
      <xdr:rowOff>9525</xdr:rowOff>
    </xdr:to>
    <xdr:sp>
      <xdr:nvSpPr>
        <xdr:cNvPr id="3" name="直線コネクタ 4"/>
        <xdr:cNvSpPr>
          <a:spLocks/>
        </xdr:cNvSpPr>
      </xdr:nvSpPr>
      <xdr:spPr>
        <a:xfrm>
          <a:off x="4457700" y="1181100"/>
          <a:ext cx="990600" cy="7429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xdr:row>
      <xdr:rowOff>0</xdr:rowOff>
    </xdr:from>
    <xdr:to>
      <xdr:col>5</xdr:col>
      <xdr:colOff>1000125</xdr:colOff>
      <xdr:row>29</xdr:row>
      <xdr:rowOff>0</xdr:rowOff>
    </xdr:to>
    <xdr:sp>
      <xdr:nvSpPr>
        <xdr:cNvPr id="4" name="直線コネクタ 5"/>
        <xdr:cNvSpPr>
          <a:spLocks/>
        </xdr:cNvSpPr>
      </xdr:nvSpPr>
      <xdr:spPr>
        <a:xfrm>
          <a:off x="5467350" y="1171575"/>
          <a:ext cx="1000125" cy="7429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F26" sqref="F26"/>
    </sheetView>
  </sheetViews>
  <sheetFormatPr defaultColWidth="9.140625" defaultRowHeight="15"/>
  <cols>
    <col min="1" max="1" width="22.8515625" style="0" customWidth="1"/>
    <col min="2" max="2" width="12.8515625" style="0" customWidth="1"/>
    <col min="3" max="3" width="15.421875" style="0" customWidth="1"/>
    <col min="4" max="6" width="15.421875" style="5" customWidth="1"/>
    <col min="7" max="7" width="15.421875" style="0" customWidth="1"/>
    <col min="8" max="8" width="8.28125" style="10" customWidth="1"/>
    <col min="9" max="9" width="6.140625" style="0" customWidth="1"/>
  </cols>
  <sheetData>
    <row r="1" spans="1:9" ht="22.5" customHeight="1">
      <c r="A1" s="1" t="s">
        <v>8</v>
      </c>
      <c r="B1" s="1"/>
      <c r="F1" s="50" t="s">
        <v>36</v>
      </c>
      <c r="G1" s="75"/>
      <c r="H1" s="75"/>
      <c r="I1" s="75"/>
    </row>
    <row r="2" spans="1:2" ht="22.5" customHeight="1">
      <c r="A2" s="1" t="s">
        <v>11</v>
      </c>
      <c r="B2" s="1"/>
    </row>
    <row r="3" spans="1:9" ht="47.25" customHeight="1">
      <c r="A3" s="45" t="s">
        <v>0</v>
      </c>
      <c r="B3" s="45" t="s">
        <v>1</v>
      </c>
      <c r="C3" s="45" t="s">
        <v>2</v>
      </c>
      <c r="D3" s="46" t="s">
        <v>23</v>
      </c>
      <c r="E3" s="46" t="s">
        <v>22</v>
      </c>
      <c r="F3" s="46" t="s">
        <v>21</v>
      </c>
      <c r="G3" s="45" t="s">
        <v>19</v>
      </c>
      <c r="H3" s="30" t="s">
        <v>16</v>
      </c>
      <c r="I3" s="31" t="s">
        <v>17</v>
      </c>
    </row>
    <row r="4" spans="1:7" ht="22.5" customHeight="1">
      <c r="A4" s="53" t="s">
        <v>12</v>
      </c>
      <c r="B4" s="55" t="s">
        <v>35</v>
      </c>
      <c r="C4" s="55" t="s">
        <v>3</v>
      </c>
      <c r="D4" s="47">
        <f>IF(G4&gt;112500,112500,G4)</f>
        <v>112500</v>
      </c>
      <c r="E4" s="21">
        <f>IF(IF(G4&gt;112500,G4-F4-112500,0)&gt;19500,19500,G4-F4-112500)*AND(IF(G4-F4-112500&lt;0,0,G4-F4-112500))</f>
        <v>19500</v>
      </c>
      <c r="F4" s="21">
        <f>IF(IF(G4&gt;112500,ROUNDDOWN((G4-112500)/2,-3),0)&gt;18000,18000,ROUNDDOWN((G4-112500)/2,-3))*AND(IF(G4-112500&lt;0,0,ROUNDDOWN((G4-112500)/2,-3)))</f>
        <v>18000</v>
      </c>
      <c r="G4" s="7">
        <v>150000</v>
      </c>
    </row>
    <row r="5" spans="1:8" ht="22.5" customHeight="1">
      <c r="A5" s="54"/>
      <c r="B5" s="56"/>
      <c r="C5" s="56"/>
      <c r="D5" s="48">
        <f>IF(G5&gt;112500,112500,G5)</f>
        <v>76520</v>
      </c>
      <c r="E5" s="23">
        <f>IF(IF(G5&gt;112500,G5-F5-112500,0)&gt;19500,19500,G5-F5-112500)*AND(IF(G5-F5-112500&lt;0,0,G5-F5-112500))</f>
        <v>0</v>
      </c>
      <c r="F5" s="23">
        <f>IF(IF(G5&gt;112500,ROUNDDOWN((G5-112500)/2,-3),0)&gt;18000,18000,ROUNDDOWN((G5-112500)/2,-3))*AND(IF(G5-112500&lt;0,0,ROUNDDOWN((G5-112500)/2,-3)))</f>
        <v>0</v>
      </c>
      <c r="G5" s="17">
        <v>76520</v>
      </c>
      <c r="H5" s="10">
        <f>+G5-G4</f>
        <v>-73480</v>
      </c>
    </row>
    <row r="6" spans="1:7" ht="22.5" customHeight="1">
      <c r="A6" s="72" t="s">
        <v>13</v>
      </c>
      <c r="B6" s="57" t="s">
        <v>29</v>
      </c>
      <c r="C6" s="20">
        <v>3.8</v>
      </c>
      <c r="D6" s="21">
        <f>C6*120000</f>
        <v>456000</v>
      </c>
      <c r="E6" s="21">
        <f aca="true" t="shared" si="0" ref="E6:E27">G6-D6-F6</f>
        <v>76000</v>
      </c>
      <c r="F6" s="21">
        <f>ROUNDDOWN(C6*20000,-3)</f>
        <v>76000</v>
      </c>
      <c r="G6" s="21">
        <f>+C6*160000</f>
        <v>608000</v>
      </c>
    </row>
    <row r="7" spans="1:9" ht="22.5" customHeight="1">
      <c r="A7" s="73"/>
      <c r="B7" s="58"/>
      <c r="C7" s="22">
        <v>2</v>
      </c>
      <c r="D7" s="23">
        <f>C7*120000</f>
        <v>240000</v>
      </c>
      <c r="E7" s="23">
        <f>G7-D7-F7</f>
        <v>40000</v>
      </c>
      <c r="F7" s="23">
        <f>ROUNDDOWN(C7*20000,-3)</f>
        <v>40000</v>
      </c>
      <c r="G7" s="23">
        <f>+C7*160000</f>
        <v>320000</v>
      </c>
      <c r="H7" s="10">
        <f>+G7-G6</f>
        <v>-288000</v>
      </c>
      <c r="I7" s="9"/>
    </row>
    <row r="8" spans="1:7" ht="22.5" customHeight="1">
      <c r="A8" s="73"/>
      <c r="B8" s="57" t="s">
        <v>27</v>
      </c>
      <c r="C8" s="20"/>
      <c r="D8" s="21">
        <f>C8*115000</f>
        <v>0</v>
      </c>
      <c r="E8" s="21">
        <f>G8-D8-F8</f>
        <v>0</v>
      </c>
      <c r="F8" s="21">
        <f>ROUNDDOWN(C8*19000,-3)</f>
        <v>0</v>
      </c>
      <c r="G8" s="21">
        <f>+C8*153000</f>
        <v>0</v>
      </c>
    </row>
    <row r="9" spans="1:9" ht="22.5" customHeight="1">
      <c r="A9" s="73"/>
      <c r="B9" s="58"/>
      <c r="C9" s="22"/>
      <c r="D9" s="23">
        <f>C9*115000</f>
        <v>0</v>
      </c>
      <c r="E9" s="23">
        <f>G9-D9-F9</f>
        <v>0</v>
      </c>
      <c r="F9" s="23">
        <f>ROUNDDOWN(C9*19000,-3)</f>
        <v>0</v>
      </c>
      <c r="G9" s="23">
        <f>+C9*153000</f>
        <v>0</v>
      </c>
      <c r="H9" s="10">
        <f>+G9-G8</f>
        <v>0</v>
      </c>
      <c r="I9" s="9"/>
    </row>
    <row r="10" spans="1:7" ht="22.5" customHeight="1">
      <c r="A10" s="73"/>
      <c r="B10" s="57" t="s">
        <v>28</v>
      </c>
      <c r="C10" s="20"/>
      <c r="D10" s="21">
        <f>C10*110000</f>
        <v>0</v>
      </c>
      <c r="E10" s="21">
        <f>G10-D10-F10</f>
        <v>0</v>
      </c>
      <c r="F10" s="21">
        <f>ROUNDDOWN(C10*18000,-3)</f>
        <v>0</v>
      </c>
      <c r="G10" s="21">
        <f>+C10*146000</f>
        <v>0</v>
      </c>
    </row>
    <row r="11" spans="1:9" ht="22.5" customHeight="1">
      <c r="A11" s="74"/>
      <c r="B11" s="58"/>
      <c r="C11" s="22"/>
      <c r="D11" s="23">
        <f>C11*110000</f>
        <v>0</v>
      </c>
      <c r="E11" s="23">
        <f>G11-D11-F11</f>
        <v>0</v>
      </c>
      <c r="F11" s="23">
        <f>ROUNDDOWN(C11*18000,-3)</f>
        <v>0</v>
      </c>
      <c r="G11" s="23">
        <f>+C11*146000</f>
        <v>0</v>
      </c>
      <c r="H11" s="10">
        <f>+G11-G10</f>
        <v>0</v>
      </c>
      <c r="I11" s="9"/>
    </row>
    <row r="12" spans="1:7" ht="22.5" customHeight="1">
      <c r="A12" s="72" t="s">
        <v>26</v>
      </c>
      <c r="B12" s="57" t="s">
        <v>30</v>
      </c>
      <c r="C12" s="18">
        <v>0.2</v>
      </c>
      <c r="D12" s="21">
        <f>C12*285000</f>
        <v>57000</v>
      </c>
      <c r="E12" s="21">
        <f t="shared" si="0"/>
        <v>10000</v>
      </c>
      <c r="F12" s="21">
        <f>ROUNDDOWN(C12*47500,-3)</f>
        <v>9000</v>
      </c>
      <c r="G12" s="19">
        <f>+C12*380000</f>
        <v>76000</v>
      </c>
    </row>
    <row r="13" spans="1:8" ht="22.5" customHeight="1">
      <c r="A13" s="56"/>
      <c r="B13" s="58"/>
      <c r="C13" s="24">
        <v>0.2</v>
      </c>
      <c r="D13" s="23">
        <f>C13*285000</f>
        <v>57000</v>
      </c>
      <c r="E13" s="23">
        <f t="shared" si="0"/>
        <v>10000</v>
      </c>
      <c r="F13" s="23">
        <f>ROUNDDOWN(C13*47500,-3)</f>
        <v>9000</v>
      </c>
      <c r="G13" s="25">
        <f>+C13*380000</f>
        <v>76000</v>
      </c>
      <c r="H13" s="10">
        <f>+G13-G12</f>
        <v>0</v>
      </c>
    </row>
    <row r="14" spans="1:7" ht="22.5" customHeight="1">
      <c r="A14" s="56"/>
      <c r="B14" s="57" t="s">
        <v>31</v>
      </c>
      <c r="C14" s="18"/>
      <c r="D14" s="21">
        <f>C14*265000</f>
        <v>0</v>
      </c>
      <c r="E14" s="21">
        <f t="shared" si="0"/>
        <v>0</v>
      </c>
      <c r="F14" s="21">
        <f>ROUNDDOWN(C14*44000,-3)</f>
        <v>0</v>
      </c>
      <c r="G14" s="19">
        <f>+C14*353000</f>
        <v>0</v>
      </c>
    </row>
    <row r="15" spans="1:8" ht="22.5" customHeight="1">
      <c r="A15" s="56"/>
      <c r="B15" s="58"/>
      <c r="C15" s="24"/>
      <c r="D15" s="23">
        <f>C15*265000</f>
        <v>0</v>
      </c>
      <c r="E15" s="23">
        <f t="shared" si="0"/>
        <v>0</v>
      </c>
      <c r="F15" s="23">
        <f>ROUNDDOWN(C15*44000,-3)</f>
        <v>0</v>
      </c>
      <c r="G15" s="25">
        <f>+C15*353000</f>
        <v>0</v>
      </c>
      <c r="H15" s="10">
        <f>+G15-G14</f>
        <v>0</v>
      </c>
    </row>
    <row r="16" spans="1:7" ht="22.5" customHeight="1">
      <c r="A16" s="56"/>
      <c r="B16" s="57" t="s">
        <v>32</v>
      </c>
      <c r="C16" s="18"/>
      <c r="D16" s="21">
        <f>C16*245000</f>
        <v>0</v>
      </c>
      <c r="E16" s="21">
        <f t="shared" si="0"/>
        <v>0</v>
      </c>
      <c r="F16" s="21">
        <f>ROUNDDOWN(C16*40500,-3)</f>
        <v>0</v>
      </c>
      <c r="G16" s="19">
        <f>+C16*326000</f>
        <v>0</v>
      </c>
    </row>
    <row r="17" spans="1:8" ht="22.5" customHeight="1">
      <c r="A17" s="58"/>
      <c r="B17" s="58"/>
      <c r="C17" s="24"/>
      <c r="D17" s="23">
        <f>C17*245000</f>
        <v>0</v>
      </c>
      <c r="E17" s="23">
        <f t="shared" si="0"/>
        <v>0</v>
      </c>
      <c r="F17" s="23">
        <f>ROUNDDOWN(C17*40500,-3)</f>
        <v>0</v>
      </c>
      <c r="G17" s="25">
        <f>+C17*326000</f>
        <v>0</v>
      </c>
      <c r="H17" s="10">
        <f>+G17-G16</f>
        <v>0</v>
      </c>
    </row>
    <row r="18" spans="1:7" ht="22.5" customHeight="1">
      <c r="A18" s="57" t="s">
        <v>4</v>
      </c>
      <c r="B18" s="57" t="s">
        <v>29</v>
      </c>
      <c r="C18" s="20"/>
      <c r="D18" s="21">
        <f>C18*120000</f>
        <v>0</v>
      </c>
      <c r="E18" s="21">
        <f t="shared" si="0"/>
        <v>0</v>
      </c>
      <c r="F18" s="21">
        <f>ROUNDDOWN(C18*20000,-3)</f>
        <v>0</v>
      </c>
      <c r="G18" s="21">
        <f>+C18*160000</f>
        <v>0</v>
      </c>
    </row>
    <row r="19" spans="1:11" ht="22.5" customHeight="1">
      <c r="A19" s="56"/>
      <c r="B19" s="58"/>
      <c r="C19" s="24"/>
      <c r="D19" s="23">
        <f>C19*120000</f>
        <v>0</v>
      </c>
      <c r="E19" s="23">
        <f t="shared" si="0"/>
        <v>0</v>
      </c>
      <c r="F19" s="23">
        <f>ROUNDDOWN(C19*20000,-3)</f>
        <v>0</v>
      </c>
      <c r="G19" s="23">
        <f>+C19*160000</f>
        <v>0</v>
      </c>
      <c r="H19" s="10">
        <f>+G19-G18</f>
        <v>0</v>
      </c>
      <c r="K19" s="16"/>
    </row>
    <row r="20" spans="1:7" ht="22.5" customHeight="1">
      <c r="A20" s="56"/>
      <c r="B20" s="57" t="s">
        <v>27</v>
      </c>
      <c r="C20" s="20"/>
      <c r="D20" s="21">
        <f>C20*115000</f>
        <v>0</v>
      </c>
      <c r="E20" s="21">
        <f t="shared" si="0"/>
        <v>0</v>
      </c>
      <c r="F20" s="21">
        <f>ROUNDDOWN(C20*19000,-3)</f>
        <v>0</v>
      </c>
      <c r="G20" s="21">
        <f>+C20*153000</f>
        <v>0</v>
      </c>
    </row>
    <row r="21" spans="1:11" ht="22.5" customHeight="1">
      <c r="A21" s="56"/>
      <c r="B21" s="58"/>
      <c r="C21" s="24"/>
      <c r="D21" s="23">
        <f>C21*115000</f>
        <v>0</v>
      </c>
      <c r="E21" s="23">
        <f t="shared" si="0"/>
        <v>0</v>
      </c>
      <c r="F21" s="23">
        <f>ROUNDDOWN(C21*19000,-3)</f>
        <v>0</v>
      </c>
      <c r="G21" s="23">
        <f>+C21*153000</f>
        <v>0</v>
      </c>
      <c r="H21" s="10">
        <f>+G21-G20</f>
        <v>0</v>
      </c>
      <c r="K21" s="16"/>
    </row>
    <row r="22" spans="1:7" ht="22.5" customHeight="1">
      <c r="A22" s="56"/>
      <c r="B22" s="57" t="s">
        <v>28</v>
      </c>
      <c r="C22" s="20"/>
      <c r="D22" s="21">
        <f>C22*110000</f>
        <v>0</v>
      </c>
      <c r="E22" s="21">
        <f t="shared" si="0"/>
        <v>0</v>
      </c>
      <c r="F22" s="21">
        <f>ROUNDDOWN(C22*18000,-3)</f>
        <v>0</v>
      </c>
      <c r="G22" s="21">
        <f>+C22*146000</f>
        <v>0</v>
      </c>
    </row>
    <row r="23" spans="1:11" ht="22.5" customHeight="1">
      <c r="A23" s="58"/>
      <c r="B23" s="58"/>
      <c r="C23" s="24"/>
      <c r="D23" s="23">
        <f>C23*110000</f>
        <v>0</v>
      </c>
      <c r="E23" s="23">
        <f t="shared" si="0"/>
        <v>0</v>
      </c>
      <c r="F23" s="23">
        <f>ROUNDDOWN(C23*18000,-3)</f>
        <v>0</v>
      </c>
      <c r="G23" s="23">
        <f>+C23*146000</f>
        <v>0</v>
      </c>
      <c r="H23" s="10">
        <f>+G23-G22</f>
        <v>0</v>
      </c>
      <c r="K23" s="16"/>
    </row>
    <row r="24" spans="1:11" ht="22.5" customHeight="1">
      <c r="A24" s="59" t="s">
        <v>14</v>
      </c>
      <c r="B24" s="57" t="s">
        <v>52</v>
      </c>
      <c r="C24" s="28">
        <v>100</v>
      </c>
      <c r="D24" s="21">
        <f>C24*800</f>
        <v>80000</v>
      </c>
      <c r="E24" s="21">
        <f t="shared" si="0"/>
        <v>10000</v>
      </c>
      <c r="F24" s="21">
        <f>ROUNDDOWN(C24*100,-3)</f>
        <v>10000</v>
      </c>
      <c r="G24" s="21">
        <f>+C24*1000</f>
        <v>100000</v>
      </c>
      <c r="K24" s="16"/>
    </row>
    <row r="25" spans="1:11" ht="22.5" customHeight="1">
      <c r="A25" s="60"/>
      <c r="B25" s="61"/>
      <c r="C25" s="27">
        <v>100</v>
      </c>
      <c r="D25" s="23">
        <f>C25*800</f>
        <v>80000</v>
      </c>
      <c r="E25" s="23">
        <f t="shared" si="0"/>
        <v>10000</v>
      </c>
      <c r="F25" s="23">
        <f>ROUNDDOWN(C25*100,-3)</f>
        <v>10000</v>
      </c>
      <c r="G25" s="25">
        <f>+C25*1000</f>
        <v>100000</v>
      </c>
      <c r="H25" s="10">
        <f>+G25-G24</f>
        <v>0</v>
      </c>
      <c r="K25" s="16"/>
    </row>
    <row r="26" spans="1:7" ht="22.5" customHeight="1">
      <c r="A26" s="59" t="s">
        <v>24</v>
      </c>
      <c r="B26" s="57" t="s">
        <v>33</v>
      </c>
      <c r="C26" s="26">
        <v>1</v>
      </c>
      <c r="D26" s="21">
        <f>C26*50000</f>
        <v>50000</v>
      </c>
      <c r="E26" s="21">
        <f>G26-D26-F26</f>
        <v>8000</v>
      </c>
      <c r="F26" s="21">
        <f>C26*8000</f>
        <v>8000</v>
      </c>
      <c r="G26" s="21">
        <f>+C26*66000</f>
        <v>66000</v>
      </c>
    </row>
    <row r="27" spans="1:8" ht="22.5" customHeight="1">
      <c r="A27" s="66"/>
      <c r="B27" s="58"/>
      <c r="C27" s="49">
        <v>1</v>
      </c>
      <c r="D27" s="23">
        <f>C27*50000</f>
        <v>50000</v>
      </c>
      <c r="E27" s="23">
        <f t="shared" si="0"/>
        <v>8000</v>
      </c>
      <c r="F27" s="23">
        <f>C27*8000</f>
        <v>8000</v>
      </c>
      <c r="G27" s="23">
        <f>+C27*66000</f>
        <v>66000</v>
      </c>
      <c r="H27" s="10">
        <f>+G27-G26</f>
        <v>0</v>
      </c>
    </row>
    <row r="28" spans="1:7" ht="22.5" customHeight="1">
      <c r="A28" s="59" t="s">
        <v>5</v>
      </c>
      <c r="B28" s="57"/>
      <c r="C28" s="57"/>
      <c r="D28" s="21">
        <f aca="true" t="shared" si="1" ref="D28:G29">+D4+D6+D12+D18+D26+D24+D8+D10+D14+D16+D20+D22</f>
        <v>755500</v>
      </c>
      <c r="E28" s="21">
        <f t="shared" si="1"/>
        <v>123500</v>
      </c>
      <c r="F28" s="21">
        <f t="shared" si="1"/>
        <v>121000</v>
      </c>
      <c r="G28" s="21">
        <f t="shared" si="1"/>
        <v>1000000</v>
      </c>
    </row>
    <row r="29" spans="1:8" ht="22.5" customHeight="1">
      <c r="A29" s="60"/>
      <c r="B29" s="61"/>
      <c r="C29" s="61"/>
      <c r="D29" s="25">
        <f t="shared" si="1"/>
        <v>503520</v>
      </c>
      <c r="E29" s="25">
        <f t="shared" si="1"/>
        <v>68000</v>
      </c>
      <c r="F29" s="25">
        <f t="shared" si="1"/>
        <v>67000</v>
      </c>
      <c r="G29" s="25">
        <f t="shared" si="1"/>
        <v>638520</v>
      </c>
      <c r="H29" s="10">
        <f>+G29-G28</f>
        <v>-361480</v>
      </c>
    </row>
    <row r="30" spans="1:7" ht="22.5" customHeight="1">
      <c r="A30" s="53" t="s">
        <v>25</v>
      </c>
      <c r="B30" s="55" t="s">
        <v>6</v>
      </c>
      <c r="C30" s="7">
        <v>700000</v>
      </c>
      <c r="D30" s="38">
        <f>G30</f>
        <v>350000</v>
      </c>
      <c r="E30" s="38"/>
      <c r="F30" s="38"/>
      <c r="G30" s="7">
        <v>350000</v>
      </c>
    </row>
    <row r="31" spans="1:8" ht="22.5" customHeight="1">
      <c r="A31" s="54"/>
      <c r="B31" s="56"/>
      <c r="C31" s="17">
        <v>600000</v>
      </c>
      <c r="D31" s="39">
        <f>G31</f>
        <v>300000</v>
      </c>
      <c r="E31" s="39"/>
      <c r="F31" s="39"/>
      <c r="G31" s="17">
        <v>300000</v>
      </c>
      <c r="H31" s="10">
        <f>+G31-G30</f>
        <v>-50000</v>
      </c>
    </row>
    <row r="32" spans="1:7" ht="22.5" customHeight="1">
      <c r="A32" s="54"/>
      <c r="B32" s="68" t="s">
        <v>18</v>
      </c>
      <c r="C32" s="35">
        <v>900000</v>
      </c>
      <c r="D32" s="40">
        <f>G32</f>
        <v>300000</v>
      </c>
      <c r="E32" s="40"/>
      <c r="F32" s="40"/>
      <c r="G32" s="35">
        <v>300000</v>
      </c>
    </row>
    <row r="33" spans="1:8" ht="22.5" customHeight="1">
      <c r="A33" s="71"/>
      <c r="B33" s="69"/>
      <c r="C33" s="8">
        <v>600000</v>
      </c>
      <c r="D33" s="41">
        <f>G33</f>
        <v>200000</v>
      </c>
      <c r="E33" s="41"/>
      <c r="F33" s="41"/>
      <c r="G33" s="8">
        <v>200000</v>
      </c>
      <c r="H33" s="10">
        <f>+G33-G32</f>
        <v>-100000</v>
      </c>
    </row>
    <row r="34" spans="1:8" ht="22.5" customHeight="1">
      <c r="A34" s="53" t="s">
        <v>7</v>
      </c>
      <c r="B34" s="55"/>
      <c r="C34" s="55"/>
      <c r="D34" s="3">
        <f aca="true" t="shared" si="2" ref="D34:F35">+D28+D30+D32</f>
        <v>1405500</v>
      </c>
      <c r="E34" s="3">
        <f t="shared" si="2"/>
        <v>123500</v>
      </c>
      <c r="F34" s="3">
        <f t="shared" si="2"/>
        <v>121000</v>
      </c>
      <c r="G34" s="3">
        <f>+G28+G30+G32</f>
        <v>1650000</v>
      </c>
      <c r="H34" s="11"/>
    </row>
    <row r="35" spans="1:9" ht="22.5" customHeight="1" thickBot="1">
      <c r="A35" s="67"/>
      <c r="B35" s="62"/>
      <c r="C35" s="62"/>
      <c r="D35" s="29">
        <f t="shared" si="2"/>
        <v>1003520</v>
      </c>
      <c r="E35" s="29">
        <f t="shared" si="2"/>
        <v>68000</v>
      </c>
      <c r="F35" s="29">
        <f t="shared" si="2"/>
        <v>67000</v>
      </c>
      <c r="G35" s="29">
        <f>+G29+G31+G33</f>
        <v>1138520</v>
      </c>
      <c r="H35" s="10">
        <f>+G35-G34</f>
        <v>-511480</v>
      </c>
      <c r="I35" s="12">
        <f>+G35/G34</f>
        <v>0.6900121212121212</v>
      </c>
    </row>
    <row r="36" spans="1:7" ht="35.25" customHeight="1" thickTop="1">
      <c r="A36" s="63" t="s">
        <v>20</v>
      </c>
      <c r="B36" s="70"/>
      <c r="C36" s="32">
        <v>4</v>
      </c>
      <c r="D36" s="42"/>
      <c r="E36" s="42"/>
      <c r="F36" s="42"/>
      <c r="G36" s="33"/>
    </row>
    <row r="37" spans="1:7" ht="35.25" customHeight="1">
      <c r="A37" s="64"/>
      <c r="B37" s="69"/>
      <c r="C37" s="34">
        <v>2.2</v>
      </c>
      <c r="D37" s="43"/>
      <c r="E37" s="43"/>
      <c r="F37" s="43"/>
      <c r="G37" s="4"/>
    </row>
    <row r="38" spans="1:7" ht="35.25" customHeight="1">
      <c r="A38" s="65" t="s">
        <v>15</v>
      </c>
      <c r="B38" s="56"/>
      <c r="C38" s="18">
        <v>4</v>
      </c>
      <c r="D38" s="36"/>
      <c r="E38" s="36"/>
      <c r="F38" s="36"/>
      <c r="G38" s="19"/>
    </row>
    <row r="39" spans="1:7" ht="35.25" customHeight="1">
      <c r="A39" s="60"/>
      <c r="B39" s="61"/>
      <c r="C39" s="24">
        <v>2.2</v>
      </c>
      <c r="D39" s="37"/>
      <c r="E39" s="37"/>
      <c r="F39" s="37"/>
      <c r="G39" s="25"/>
    </row>
    <row r="40" spans="1:9" ht="22.5" customHeight="1">
      <c r="A40" s="13" t="s">
        <v>34</v>
      </c>
      <c r="B40" s="14"/>
      <c r="C40" s="14"/>
      <c r="D40" s="44"/>
      <c r="E40" s="44"/>
      <c r="F40" s="44"/>
      <c r="G40" s="15"/>
      <c r="I40" s="12"/>
    </row>
    <row r="41" spans="1:7" ht="44.25" customHeight="1">
      <c r="A41" s="52" t="s">
        <v>10</v>
      </c>
      <c r="B41" s="52"/>
      <c r="C41" s="52"/>
      <c r="D41" s="52"/>
      <c r="E41" s="52"/>
      <c r="F41" s="52"/>
      <c r="G41" s="52"/>
    </row>
    <row r="43" spans="1:3" ht="29.25" customHeight="1">
      <c r="A43" s="5"/>
      <c r="B43" s="6"/>
      <c r="C43" t="s">
        <v>9</v>
      </c>
    </row>
    <row r="44" ht="13.5">
      <c r="G44" s="2"/>
    </row>
  </sheetData>
  <sheetProtection/>
  <mergeCells count="34">
    <mergeCell ref="A6:A11"/>
    <mergeCell ref="B10:B11"/>
    <mergeCell ref="B8:B9"/>
    <mergeCell ref="G1:I1"/>
    <mergeCell ref="B24:B25"/>
    <mergeCell ref="B36:B37"/>
    <mergeCell ref="C34:C35"/>
    <mergeCell ref="A30:A33"/>
    <mergeCell ref="B14:B15"/>
    <mergeCell ref="B16:B17"/>
    <mergeCell ref="A12:A17"/>
    <mergeCell ref="B20:B21"/>
    <mergeCell ref="B22:B23"/>
    <mergeCell ref="A18:A23"/>
    <mergeCell ref="B38:B39"/>
    <mergeCell ref="A36:A37"/>
    <mergeCell ref="A38:A39"/>
    <mergeCell ref="A26:A27"/>
    <mergeCell ref="B26:B27"/>
    <mergeCell ref="B28:B29"/>
    <mergeCell ref="B30:B31"/>
    <mergeCell ref="A28:A29"/>
    <mergeCell ref="A34:A35"/>
    <mergeCell ref="B32:B33"/>
    <mergeCell ref="A41:G41"/>
    <mergeCell ref="A4:A5"/>
    <mergeCell ref="C4:C5"/>
    <mergeCell ref="B4:B5"/>
    <mergeCell ref="B6:B7"/>
    <mergeCell ref="B12:B13"/>
    <mergeCell ref="B18:B19"/>
    <mergeCell ref="A24:A25"/>
    <mergeCell ref="C28:C29"/>
    <mergeCell ref="B34:B3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K44"/>
  <sheetViews>
    <sheetView tabSelected="1" view="pageBreakPreview" zoomScaleSheetLayoutView="100" zoomScalePageLayoutView="0" workbookViewId="0" topLeftCell="A1">
      <selection activeCell="F24" sqref="F24"/>
    </sheetView>
  </sheetViews>
  <sheetFormatPr defaultColWidth="9.140625" defaultRowHeight="15"/>
  <cols>
    <col min="1" max="1" width="22.8515625" style="0" customWidth="1"/>
    <col min="2" max="2" width="12.8515625" style="0" customWidth="1"/>
    <col min="3" max="3" width="15.421875" style="0" customWidth="1"/>
    <col min="4" max="6" width="15.421875" style="5" customWidth="1"/>
    <col min="7" max="7" width="15.421875" style="0" customWidth="1"/>
    <col min="8" max="8" width="8.28125" style="10" customWidth="1"/>
    <col min="9" max="9" width="6.140625" style="0" customWidth="1"/>
  </cols>
  <sheetData>
    <row r="1" spans="1:9" ht="22.5" customHeight="1">
      <c r="A1" s="1" t="s">
        <v>8</v>
      </c>
      <c r="B1" s="1"/>
      <c r="F1" s="50" t="s">
        <v>36</v>
      </c>
      <c r="G1" s="75"/>
      <c r="H1" s="75"/>
      <c r="I1" s="75"/>
    </row>
    <row r="2" spans="1:2" ht="22.5" customHeight="1">
      <c r="A2" s="1" t="s">
        <v>11</v>
      </c>
      <c r="B2" s="1"/>
    </row>
    <row r="3" spans="1:9" ht="47.25" customHeight="1">
      <c r="A3" s="45" t="s">
        <v>0</v>
      </c>
      <c r="B3" s="45" t="s">
        <v>1</v>
      </c>
      <c r="C3" s="45" t="s">
        <v>2</v>
      </c>
      <c r="D3" s="46" t="s">
        <v>23</v>
      </c>
      <c r="E3" s="46" t="s">
        <v>22</v>
      </c>
      <c r="F3" s="46" t="s">
        <v>21</v>
      </c>
      <c r="G3" s="45" t="s">
        <v>19</v>
      </c>
      <c r="H3" s="30" t="s">
        <v>16</v>
      </c>
      <c r="I3" s="31" t="s">
        <v>17</v>
      </c>
    </row>
    <row r="4" spans="1:7" ht="22.5" customHeight="1">
      <c r="A4" s="53" t="s">
        <v>12</v>
      </c>
      <c r="B4" s="55" t="s">
        <v>35</v>
      </c>
      <c r="C4" s="55" t="s">
        <v>3</v>
      </c>
      <c r="D4" s="47">
        <f>IF(G4&gt;112500,112500,G4)</f>
        <v>0</v>
      </c>
      <c r="E4" s="21">
        <f>IF(IF(G4&gt;112500,G4-F4-112500,0)&gt;19500,19500,G4-F4-112500)*AND(IF(G4-F4-112500&lt;0,0,G4-F4-112500))</f>
        <v>0</v>
      </c>
      <c r="F4" s="21">
        <f>IF(IF(G4&gt;112500,ROUNDDOWN((G4-112500)/2,-3),0)&gt;18000,18000,ROUNDDOWN((G4-112500)/2,-3))*AND(IF(G4-112500&lt;0,0,ROUNDDOWN((G4-112500)/2,-3)))</f>
        <v>0</v>
      </c>
      <c r="G4" s="7"/>
    </row>
    <row r="5" spans="1:8" ht="22.5" customHeight="1">
      <c r="A5" s="54"/>
      <c r="B5" s="56"/>
      <c r="C5" s="56"/>
      <c r="D5" s="48">
        <f>IF(G5&gt;112500,112500,G5)</f>
        <v>0</v>
      </c>
      <c r="E5" s="23">
        <f>IF(IF(G5&gt;112500,G5-F5-112500,0)&gt;19500,19500,G5-F5-112500)*AND(IF(G5-F5-112500&lt;0,0,G5-F5-112500))</f>
        <v>0</v>
      </c>
      <c r="F5" s="23">
        <f>IF(IF(G5&gt;112500,ROUNDDOWN((G5-112500)/2,-3),0)&gt;18000,18000,ROUNDDOWN((G5-112500)/2,-3))*AND(IF(G5-112500&lt;0,0,ROUNDDOWN((G5-112500)/2,-3)))</f>
        <v>0</v>
      </c>
      <c r="G5" s="17"/>
      <c r="H5" s="10">
        <f>+G5-G4</f>
        <v>0</v>
      </c>
    </row>
    <row r="6" spans="1:7" ht="22.5" customHeight="1">
      <c r="A6" s="72" t="s">
        <v>13</v>
      </c>
      <c r="B6" s="57" t="s">
        <v>29</v>
      </c>
      <c r="C6" s="20"/>
      <c r="D6" s="21">
        <f>C6*120000</f>
        <v>0</v>
      </c>
      <c r="E6" s="21">
        <f aca="true" t="shared" si="0" ref="E6:E27">G6-D6-F6</f>
        <v>0</v>
      </c>
      <c r="F6" s="21">
        <f>ROUNDDOWN(C6*20000,-3)</f>
        <v>0</v>
      </c>
      <c r="G6" s="21">
        <f>+C6*160000</f>
        <v>0</v>
      </c>
    </row>
    <row r="7" spans="1:9" ht="22.5" customHeight="1">
      <c r="A7" s="73"/>
      <c r="B7" s="58"/>
      <c r="C7" s="22"/>
      <c r="D7" s="23">
        <f>C7*120000</f>
        <v>0</v>
      </c>
      <c r="E7" s="23">
        <f>G7-D7-F7</f>
        <v>0</v>
      </c>
      <c r="F7" s="23">
        <f>ROUNDDOWN(C7*20000,-3)</f>
        <v>0</v>
      </c>
      <c r="G7" s="23">
        <f>C7*160000</f>
        <v>0</v>
      </c>
      <c r="H7" s="10">
        <f>+G7-G6</f>
        <v>0</v>
      </c>
      <c r="I7" s="9"/>
    </row>
    <row r="8" spans="1:7" ht="22.5" customHeight="1">
      <c r="A8" s="73"/>
      <c r="B8" s="57" t="s">
        <v>27</v>
      </c>
      <c r="C8" s="20"/>
      <c r="D8" s="21">
        <f>C8*115000</f>
        <v>0</v>
      </c>
      <c r="E8" s="21">
        <f>G8-D8-F8</f>
        <v>0</v>
      </c>
      <c r="F8" s="21">
        <f>ROUNDDOWN(C8*19000,-3)</f>
        <v>0</v>
      </c>
      <c r="G8" s="21">
        <f>+C8*153000</f>
        <v>0</v>
      </c>
    </row>
    <row r="9" spans="1:9" ht="22.5" customHeight="1">
      <c r="A9" s="73"/>
      <c r="B9" s="58"/>
      <c r="C9" s="22"/>
      <c r="D9" s="23">
        <f>C9*115000</f>
        <v>0</v>
      </c>
      <c r="E9" s="23">
        <f>G9-D9-F9</f>
        <v>0</v>
      </c>
      <c r="F9" s="23">
        <f>ROUNDDOWN(C9*19000,-3)</f>
        <v>0</v>
      </c>
      <c r="G9" s="23">
        <f>+C9*153000</f>
        <v>0</v>
      </c>
      <c r="H9" s="10">
        <f>+G9-G8</f>
        <v>0</v>
      </c>
      <c r="I9" s="9"/>
    </row>
    <row r="10" spans="1:7" ht="22.5" customHeight="1">
      <c r="A10" s="73"/>
      <c r="B10" s="57" t="s">
        <v>28</v>
      </c>
      <c r="C10" s="20"/>
      <c r="D10" s="21">
        <f>C10*110000</f>
        <v>0</v>
      </c>
      <c r="E10" s="21">
        <f>G10-D10-F10</f>
        <v>0</v>
      </c>
      <c r="F10" s="21">
        <f>ROUNDDOWN(C10*18000,-3)</f>
        <v>0</v>
      </c>
      <c r="G10" s="21">
        <f>+C10*146000</f>
        <v>0</v>
      </c>
    </row>
    <row r="11" spans="1:9" ht="22.5" customHeight="1">
      <c r="A11" s="74"/>
      <c r="B11" s="58"/>
      <c r="C11" s="22"/>
      <c r="D11" s="23">
        <f>C11*110000</f>
        <v>0</v>
      </c>
      <c r="E11" s="23">
        <f>G11-D11-F11</f>
        <v>0</v>
      </c>
      <c r="F11" s="23">
        <f>ROUNDDOWN(C11*18000,-3)</f>
        <v>0</v>
      </c>
      <c r="G11" s="23">
        <f>+C11*146000</f>
        <v>0</v>
      </c>
      <c r="H11" s="10">
        <f>+G11-G10</f>
        <v>0</v>
      </c>
      <c r="I11" s="9"/>
    </row>
    <row r="12" spans="1:7" ht="22.5" customHeight="1">
      <c r="A12" s="72" t="s">
        <v>26</v>
      </c>
      <c r="B12" s="57" t="s">
        <v>30</v>
      </c>
      <c r="C12" s="18"/>
      <c r="D12" s="21">
        <f>C12*285000</f>
        <v>0</v>
      </c>
      <c r="E12" s="21">
        <f t="shared" si="0"/>
        <v>0</v>
      </c>
      <c r="F12" s="21">
        <f>ROUNDDOWN(C12*47500,-3)</f>
        <v>0</v>
      </c>
      <c r="G12" s="19">
        <f>+C12*380000</f>
        <v>0</v>
      </c>
    </row>
    <row r="13" spans="1:8" ht="22.5" customHeight="1">
      <c r="A13" s="56"/>
      <c r="B13" s="58"/>
      <c r="C13" s="24"/>
      <c r="D13" s="23">
        <f>C13*285000</f>
        <v>0</v>
      </c>
      <c r="E13" s="23">
        <f t="shared" si="0"/>
        <v>0</v>
      </c>
      <c r="F13" s="23">
        <f>ROUNDDOWN(C13*47500,-3)</f>
        <v>0</v>
      </c>
      <c r="G13" s="25">
        <f>+C13*380000</f>
        <v>0</v>
      </c>
      <c r="H13" s="10">
        <f>+G13-G12</f>
        <v>0</v>
      </c>
    </row>
    <row r="14" spans="1:7" ht="22.5" customHeight="1">
      <c r="A14" s="56"/>
      <c r="B14" s="57" t="s">
        <v>31</v>
      </c>
      <c r="C14" s="18"/>
      <c r="D14" s="21">
        <f>C14*265000</f>
        <v>0</v>
      </c>
      <c r="E14" s="21">
        <f t="shared" si="0"/>
        <v>0</v>
      </c>
      <c r="F14" s="21">
        <f>ROUNDDOWN(C14*44000,-3)</f>
        <v>0</v>
      </c>
      <c r="G14" s="19">
        <f>+C14*353000</f>
        <v>0</v>
      </c>
    </row>
    <row r="15" spans="1:8" ht="22.5" customHeight="1">
      <c r="A15" s="56"/>
      <c r="B15" s="58"/>
      <c r="C15" s="24"/>
      <c r="D15" s="23">
        <f>C15*265000</f>
        <v>0</v>
      </c>
      <c r="E15" s="23">
        <f t="shared" si="0"/>
        <v>0</v>
      </c>
      <c r="F15" s="23">
        <f>ROUNDDOWN(C15*44000,-3)</f>
        <v>0</v>
      </c>
      <c r="G15" s="25">
        <f>+C15*353000</f>
        <v>0</v>
      </c>
      <c r="H15" s="10">
        <f>+G15-G14</f>
        <v>0</v>
      </c>
    </row>
    <row r="16" spans="1:7" ht="22.5" customHeight="1">
      <c r="A16" s="56"/>
      <c r="B16" s="57" t="s">
        <v>32</v>
      </c>
      <c r="C16" s="18"/>
      <c r="D16" s="21">
        <f>C16*245000</f>
        <v>0</v>
      </c>
      <c r="E16" s="21">
        <f t="shared" si="0"/>
        <v>0</v>
      </c>
      <c r="F16" s="21">
        <f>ROUNDDOWN(C16*40500,-3)</f>
        <v>0</v>
      </c>
      <c r="G16" s="19">
        <f>+C16*326000</f>
        <v>0</v>
      </c>
    </row>
    <row r="17" spans="1:8" ht="22.5" customHeight="1">
      <c r="A17" s="58"/>
      <c r="B17" s="58"/>
      <c r="C17" s="24"/>
      <c r="D17" s="23">
        <f>C17*245000</f>
        <v>0</v>
      </c>
      <c r="E17" s="23">
        <f t="shared" si="0"/>
        <v>0</v>
      </c>
      <c r="F17" s="23">
        <f>ROUNDDOWN(C17*40500,-3)</f>
        <v>0</v>
      </c>
      <c r="G17" s="25">
        <f>+C17*326000</f>
        <v>0</v>
      </c>
      <c r="H17" s="10">
        <f>+G17-G16</f>
        <v>0</v>
      </c>
    </row>
    <row r="18" spans="1:7" ht="22.5" customHeight="1">
      <c r="A18" s="57" t="s">
        <v>4</v>
      </c>
      <c r="B18" s="57" t="s">
        <v>29</v>
      </c>
      <c r="C18" s="20"/>
      <c r="D18" s="21">
        <f>C18*120000</f>
        <v>0</v>
      </c>
      <c r="E18" s="21">
        <f t="shared" si="0"/>
        <v>0</v>
      </c>
      <c r="F18" s="21">
        <f>ROUNDDOWN(C18*20000,-3)</f>
        <v>0</v>
      </c>
      <c r="G18" s="21">
        <f>+C18*160000</f>
        <v>0</v>
      </c>
    </row>
    <row r="19" spans="1:11" ht="22.5" customHeight="1">
      <c r="A19" s="56"/>
      <c r="B19" s="58"/>
      <c r="C19" s="24"/>
      <c r="D19" s="23">
        <f>C19*120000</f>
        <v>0</v>
      </c>
      <c r="E19" s="23">
        <f t="shared" si="0"/>
        <v>0</v>
      </c>
      <c r="F19" s="23">
        <f>ROUNDDOWN(C19*20000,-3)</f>
        <v>0</v>
      </c>
      <c r="G19" s="23">
        <f>+C19*160000</f>
        <v>0</v>
      </c>
      <c r="H19" s="10">
        <f>+G19-G18</f>
        <v>0</v>
      </c>
      <c r="K19" s="16"/>
    </row>
    <row r="20" spans="1:7" ht="22.5" customHeight="1">
      <c r="A20" s="56"/>
      <c r="B20" s="57" t="s">
        <v>27</v>
      </c>
      <c r="C20" s="20"/>
      <c r="D20" s="21">
        <f>C20*115000</f>
        <v>0</v>
      </c>
      <c r="E20" s="21">
        <f t="shared" si="0"/>
        <v>0</v>
      </c>
      <c r="F20" s="21">
        <f>ROUNDDOWN(C20*19000,-3)</f>
        <v>0</v>
      </c>
      <c r="G20" s="21">
        <f>+C20*153000</f>
        <v>0</v>
      </c>
    </row>
    <row r="21" spans="1:11" ht="22.5" customHeight="1">
      <c r="A21" s="56"/>
      <c r="B21" s="58"/>
      <c r="C21" s="24"/>
      <c r="D21" s="23">
        <f>C21*115000</f>
        <v>0</v>
      </c>
      <c r="E21" s="23">
        <f t="shared" si="0"/>
        <v>0</v>
      </c>
      <c r="F21" s="23">
        <f>ROUNDDOWN(C21*19000,-3)</f>
        <v>0</v>
      </c>
      <c r="G21" s="23">
        <f>+C21*153000</f>
        <v>0</v>
      </c>
      <c r="H21" s="10">
        <f>+G21-G20</f>
        <v>0</v>
      </c>
      <c r="K21" s="16"/>
    </row>
    <row r="22" spans="1:7" ht="22.5" customHeight="1">
      <c r="A22" s="56"/>
      <c r="B22" s="57" t="s">
        <v>28</v>
      </c>
      <c r="C22" s="20"/>
      <c r="D22" s="21">
        <f>C22*110000</f>
        <v>0</v>
      </c>
      <c r="E22" s="21">
        <f t="shared" si="0"/>
        <v>0</v>
      </c>
      <c r="F22" s="21">
        <f>ROUNDDOWN(C22*18000,-3)</f>
        <v>0</v>
      </c>
      <c r="G22" s="21">
        <f>+C22*146000</f>
        <v>0</v>
      </c>
    </row>
    <row r="23" spans="1:11" ht="22.5" customHeight="1">
      <c r="A23" s="58"/>
      <c r="B23" s="58"/>
      <c r="C23" s="24"/>
      <c r="D23" s="23">
        <f>C23*110000</f>
        <v>0</v>
      </c>
      <c r="E23" s="23">
        <f t="shared" si="0"/>
        <v>0</v>
      </c>
      <c r="F23" s="23">
        <f>ROUNDDOWN(C23*18000,-3)</f>
        <v>0</v>
      </c>
      <c r="G23" s="23">
        <f>+C23*146000</f>
        <v>0</v>
      </c>
      <c r="H23" s="10">
        <f>+G23-G22</f>
        <v>0</v>
      </c>
      <c r="K23" s="16"/>
    </row>
    <row r="24" spans="1:11" ht="22.5" customHeight="1">
      <c r="A24" s="59" t="s">
        <v>14</v>
      </c>
      <c r="B24" s="57" t="s">
        <v>52</v>
      </c>
      <c r="C24" s="28"/>
      <c r="D24" s="21">
        <f>C24*800</f>
        <v>0</v>
      </c>
      <c r="E24" s="21">
        <f>G24-D24-F24</f>
        <v>0</v>
      </c>
      <c r="F24" s="21">
        <f>ROUNDDOWN(C24*100,-3)</f>
        <v>0</v>
      </c>
      <c r="G24" s="21">
        <f>+C24*1000</f>
        <v>0</v>
      </c>
      <c r="K24" s="16"/>
    </row>
    <row r="25" spans="1:11" ht="22.5" customHeight="1">
      <c r="A25" s="60"/>
      <c r="B25" s="61"/>
      <c r="C25" s="27"/>
      <c r="D25" s="23">
        <f>C25*800</f>
        <v>0</v>
      </c>
      <c r="E25" s="23">
        <f t="shared" si="0"/>
        <v>0</v>
      </c>
      <c r="F25" s="23">
        <f>ROUNDDOWN(C25*100,-3)</f>
        <v>0</v>
      </c>
      <c r="G25" s="25">
        <f>+C25*1000</f>
        <v>0</v>
      </c>
      <c r="H25" s="10">
        <f>+G25-G24</f>
        <v>0</v>
      </c>
      <c r="K25" s="16"/>
    </row>
    <row r="26" spans="1:7" ht="22.5" customHeight="1">
      <c r="A26" s="59" t="s">
        <v>24</v>
      </c>
      <c r="B26" s="57" t="s">
        <v>33</v>
      </c>
      <c r="C26" s="26"/>
      <c r="D26" s="21">
        <f>C26*50000</f>
        <v>0</v>
      </c>
      <c r="E26" s="21">
        <f>G26-D26-F26</f>
        <v>0</v>
      </c>
      <c r="F26" s="21">
        <f>C26*8000</f>
        <v>0</v>
      </c>
      <c r="G26" s="21">
        <f>+C26*66000</f>
        <v>0</v>
      </c>
    </row>
    <row r="27" spans="1:8" ht="22.5" customHeight="1">
      <c r="A27" s="66"/>
      <c r="B27" s="58"/>
      <c r="C27" s="49"/>
      <c r="D27" s="23">
        <f>C27*50000</f>
        <v>0</v>
      </c>
      <c r="E27" s="23">
        <f t="shared" si="0"/>
        <v>0</v>
      </c>
      <c r="F27" s="23">
        <f>C27*8000</f>
        <v>0</v>
      </c>
      <c r="G27" s="23">
        <f>+C27*66000</f>
        <v>0</v>
      </c>
      <c r="H27" s="10">
        <f>+G27-G26</f>
        <v>0</v>
      </c>
    </row>
    <row r="28" spans="1:7" ht="22.5" customHeight="1">
      <c r="A28" s="59" t="s">
        <v>5</v>
      </c>
      <c r="B28" s="57"/>
      <c r="C28" s="57"/>
      <c r="D28" s="21">
        <f aca="true" t="shared" si="1" ref="D28:G29">+D4+D6+D12+D18+D26+D24+D8+D10+D14+D16+D20+D22</f>
        <v>0</v>
      </c>
      <c r="E28" s="21">
        <f t="shared" si="1"/>
        <v>0</v>
      </c>
      <c r="F28" s="21">
        <f>+F4+F6+F12+F18+F26+F24+F8+F10+F14+F16+F20+F22</f>
        <v>0</v>
      </c>
      <c r="G28" s="21">
        <f t="shared" si="1"/>
        <v>0</v>
      </c>
    </row>
    <row r="29" spans="1:8" ht="22.5" customHeight="1">
      <c r="A29" s="60"/>
      <c r="B29" s="61"/>
      <c r="C29" s="61"/>
      <c r="D29" s="25">
        <f t="shared" si="1"/>
        <v>0</v>
      </c>
      <c r="E29" s="25">
        <f t="shared" si="1"/>
        <v>0</v>
      </c>
      <c r="F29" s="25">
        <f>+F5+F7+F13+F19+F27+F25+F9+F11+F15+F17+F21+F23</f>
        <v>0</v>
      </c>
      <c r="G29" s="25">
        <f t="shared" si="1"/>
        <v>0</v>
      </c>
      <c r="H29" s="10">
        <f>+G29-G28</f>
        <v>0</v>
      </c>
    </row>
    <row r="30" spans="1:7" ht="22.5" customHeight="1">
      <c r="A30" s="53" t="s">
        <v>25</v>
      </c>
      <c r="B30" s="55" t="s">
        <v>6</v>
      </c>
      <c r="C30" s="7"/>
      <c r="D30" s="38">
        <f>G30</f>
        <v>0</v>
      </c>
      <c r="E30" s="38"/>
      <c r="F30" s="38"/>
      <c r="G30" s="7"/>
    </row>
    <row r="31" spans="1:8" ht="22.5" customHeight="1">
      <c r="A31" s="54"/>
      <c r="B31" s="56"/>
      <c r="C31" s="17"/>
      <c r="D31" s="39">
        <f>G31</f>
        <v>0</v>
      </c>
      <c r="E31" s="39"/>
      <c r="F31" s="39"/>
      <c r="G31" s="17"/>
      <c r="H31" s="10">
        <f>+G31-G30</f>
        <v>0</v>
      </c>
    </row>
    <row r="32" spans="1:7" ht="22.5" customHeight="1">
      <c r="A32" s="54"/>
      <c r="B32" s="68" t="s">
        <v>18</v>
      </c>
      <c r="C32" s="35"/>
      <c r="D32" s="40">
        <f>G32</f>
        <v>0</v>
      </c>
      <c r="E32" s="40"/>
      <c r="F32" s="40"/>
      <c r="G32" s="35"/>
    </row>
    <row r="33" spans="1:8" ht="22.5" customHeight="1">
      <c r="A33" s="71"/>
      <c r="B33" s="69"/>
      <c r="C33" s="8"/>
      <c r="D33" s="41">
        <f>G33</f>
        <v>0</v>
      </c>
      <c r="E33" s="41"/>
      <c r="F33" s="41"/>
      <c r="G33" s="8"/>
      <c r="H33" s="10">
        <f>+G33-G32</f>
        <v>0</v>
      </c>
    </row>
    <row r="34" spans="1:8" ht="22.5" customHeight="1">
      <c r="A34" s="53" t="s">
        <v>7</v>
      </c>
      <c r="B34" s="55"/>
      <c r="C34" s="55"/>
      <c r="D34" s="3">
        <f aca="true" t="shared" si="2" ref="D34:G35">+D28+D30+D32</f>
        <v>0</v>
      </c>
      <c r="E34" s="3">
        <f t="shared" si="2"/>
        <v>0</v>
      </c>
      <c r="F34" s="3">
        <f t="shared" si="2"/>
        <v>0</v>
      </c>
      <c r="G34" s="3">
        <f t="shared" si="2"/>
        <v>0</v>
      </c>
      <c r="H34" s="11"/>
    </row>
    <row r="35" spans="1:9" ht="22.5" customHeight="1" thickBot="1">
      <c r="A35" s="67"/>
      <c r="B35" s="62"/>
      <c r="C35" s="62"/>
      <c r="D35" s="29">
        <f t="shared" si="2"/>
        <v>0</v>
      </c>
      <c r="E35" s="29">
        <f t="shared" si="2"/>
        <v>0</v>
      </c>
      <c r="F35" s="29">
        <f t="shared" si="2"/>
        <v>0</v>
      </c>
      <c r="G35" s="29">
        <f t="shared" si="2"/>
        <v>0</v>
      </c>
      <c r="H35" s="10">
        <f>+G35-G34</f>
        <v>0</v>
      </c>
      <c r="I35" s="12" t="e">
        <f>+G35/G34</f>
        <v>#DIV/0!</v>
      </c>
    </row>
    <row r="36" spans="1:7" ht="35.25" customHeight="1" thickTop="1">
      <c r="A36" s="63" t="s">
        <v>20</v>
      </c>
      <c r="B36" s="70"/>
      <c r="C36" s="32"/>
      <c r="D36" s="42"/>
      <c r="E36" s="42"/>
      <c r="F36" s="42"/>
      <c r="G36" s="33"/>
    </row>
    <row r="37" spans="1:7" ht="35.25" customHeight="1">
      <c r="A37" s="64"/>
      <c r="B37" s="69"/>
      <c r="C37" s="34"/>
      <c r="D37" s="43"/>
      <c r="E37" s="43"/>
      <c r="F37" s="43"/>
      <c r="G37" s="4"/>
    </row>
    <row r="38" spans="1:7" ht="35.25" customHeight="1">
      <c r="A38" s="65" t="s">
        <v>15</v>
      </c>
      <c r="B38" s="56"/>
      <c r="C38" s="18"/>
      <c r="D38" s="36"/>
      <c r="E38" s="36"/>
      <c r="F38" s="36"/>
      <c r="G38" s="19"/>
    </row>
    <row r="39" spans="1:7" ht="35.25" customHeight="1">
      <c r="A39" s="60"/>
      <c r="B39" s="61"/>
      <c r="C39" s="24"/>
      <c r="D39" s="37"/>
      <c r="E39" s="37"/>
      <c r="F39" s="37"/>
      <c r="G39" s="25"/>
    </row>
    <row r="40" spans="1:9" ht="22.5" customHeight="1">
      <c r="A40" s="13" t="s">
        <v>34</v>
      </c>
      <c r="B40" s="14"/>
      <c r="C40" s="14"/>
      <c r="D40" s="44"/>
      <c r="E40" s="44"/>
      <c r="F40" s="44"/>
      <c r="G40" s="15"/>
      <c r="I40" s="12"/>
    </row>
    <row r="41" spans="1:7" ht="44.25" customHeight="1">
      <c r="A41" s="52" t="s">
        <v>10</v>
      </c>
      <c r="B41" s="52"/>
      <c r="C41" s="52"/>
      <c r="D41" s="52"/>
      <c r="E41" s="52"/>
      <c r="F41" s="52"/>
      <c r="G41" s="52"/>
    </row>
    <row r="43" spans="1:3" ht="29.25" customHeight="1">
      <c r="A43" s="5"/>
      <c r="B43" s="6"/>
      <c r="C43" t="s">
        <v>9</v>
      </c>
    </row>
    <row r="44" ht="13.5">
      <c r="G44" s="2"/>
    </row>
  </sheetData>
  <sheetProtection/>
  <mergeCells count="34">
    <mergeCell ref="A36:A37"/>
    <mergeCell ref="B36:B37"/>
    <mergeCell ref="A38:A39"/>
    <mergeCell ref="B38:B39"/>
    <mergeCell ref="A41:G41"/>
    <mergeCell ref="G1:I1"/>
    <mergeCell ref="C28:C29"/>
    <mergeCell ref="A30:A33"/>
    <mergeCell ref="B30:B31"/>
    <mergeCell ref="B32:B33"/>
    <mergeCell ref="A34:A35"/>
    <mergeCell ref="B34:B35"/>
    <mergeCell ref="C34:C35"/>
    <mergeCell ref="A24:A25"/>
    <mergeCell ref="B24:B25"/>
    <mergeCell ref="A26:A27"/>
    <mergeCell ref="B26:B27"/>
    <mergeCell ref="A28:A29"/>
    <mergeCell ref="B28:B29"/>
    <mergeCell ref="A12:A17"/>
    <mergeCell ref="B12:B13"/>
    <mergeCell ref="B14:B15"/>
    <mergeCell ref="B16:B17"/>
    <mergeCell ref="A18:A23"/>
    <mergeCell ref="B18:B19"/>
    <mergeCell ref="B20:B21"/>
    <mergeCell ref="B22:B23"/>
    <mergeCell ref="A4:A5"/>
    <mergeCell ref="B4:B5"/>
    <mergeCell ref="C4:C5"/>
    <mergeCell ref="A6:A11"/>
    <mergeCell ref="B6:B7"/>
    <mergeCell ref="B8:B9"/>
    <mergeCell ref="B10:B1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0">
      <selection activeCell="G28" sqref="G28"/>
    </sheetView>
  </sheetViews>
  <sheetFormatPr defaultColWidth="9.140625" defaultRowHeight="15"/>
  <cols>
    <col min="1" max="1" width="22.8515625" style="0" customWidth="1"/>
    <col min="2" max="2" width="12.8515625" style="0" customWidth="1"/>
    <col min="3" max="3" width="15.421875" style="0" customWidth="1"/>
    <col min="4" max="6" width="15.421875" style="5" customWidth="1"/>
    <col min="7" max="7" width="15.421875" style="0" customWidth="1"/>
    <col min="8" max="8" width="8.28125" style="10" customWidth="1"/>
    <col min="9" max="9" width="6.140625" style="0" customWidth="1"/>
  </cols>
  <sheetData>
    <row r="1" spans="1:9" ht="22.5" customHeight="1">
      <c r="A1" s="1" t="s">
        <v>8</v>
      </c>
      <c r="B1" s="1"/>
      <c r="F1" s="50" t="s">
        <v>36</v>
      </c>
      <c r="G1" s="75"/>
      <c r="H1" s="75"/>
      <c r="I1" s="75"/>
    </row>
    <row r="2" spans="1:2" ht="22.5" customHeight="1">
      <c r="A2" s="1" t="s">
        <v>11</v>
      </c>
      <c r="B2" s="1"/>
    </row>
    <row r="3" spans="1:9" ht="47.25" customHeight="1">
      <c r="A3" s="45" t="s">
        <v>0</v>
      </c>
      <c r="B3" s="51" t="s">
        <v>56</v>
      </c>
      <c r="C3" s="45" t="s">
        <v>2</v>
      </c>
      <c r="D3" s="46" t="s">
        <v>23</v>
      </c>
      <c r="E3" s="46" t="s">
        <v>22</v>
      </c>
      <c r="F3" s="46" t="s">
        <v>21</v>
      </c>
      <c r="G3" s="45" t="s">
        <v>19</v>
      </c>
      <c r="H3" s="30" t="s">
        <v>16</v>
      </c>
      <c r="I3" s="31" t="s">
        <v>17</v>
      </c>
    </row>
    <row r="4" spans="1:7" ht="22.5" customHeight="1">
      <c r="A4" s="53" t="s">
        <v>12</v>
      </c>
      <c r="B4" s="55" t="s">
        <v>55</v>
      </c>
      <c r="C4" s="55" t="s">
        <v>3</v>
      </c>
      <c r="D4" s="47">
        <f>IF(G4&gt;112500,112500,G4)</f>
        <v>0</v>
      </c>
      <c r="E4" s="21"/>
      <c r="F4" s="21">
        <f>IF(IF(G4&gt;112500,ROUNDDOWN((G4-112500)/2,0),0)&gt;18750,18750,ROUNDDOWN((G4-112500)/2,0))*AND(IF(G4-112500&lt;0,0,ROUNDDOWN((G4-112500)/2,0)))</f>
        <v>0</v>
      </c>
      <c r="G4" s="7"/>
    </row>
    <row r="5" spans="1:8" ht="22.5" customHeight="1">
      <c r="A5" s="54"/>
      <c r="B5" s="56"/>
      <c r="C5" s="56"/>
      <c r="D5" s="48">
        <f>IF(G5&gt;112500,112500,G5)</f>
        <v>0</v>
      </c>
      <c r="E5" s="23"/>
      <c r="F5" s="23">
        <f>IF(IF(G5&gt;112500,ROUNDDOWN((G5-112500)/2,0),0)&gt;18750,18750,ROUNDDOWN((G5-112500)/2,0))*AND(IF(G5-112500&lt;0,0,ROUNDDOWN((G5-112500)/2,0)))</f>
        <v>0</v>
      </c>
      <c r="G5" s="17"/>
      <c r="H5" s="10">
        <f>+G5-G4</f>
        <v>0</v>
      </c>
    </row>
    <row r="6" spans="1:7" ht="22.5" customHeight="1">
      <c r="A6" s="72" t="s">
        <v>13</v>
      </c>
      <c r="B6" s="57" t="s">
        <v>45</v>
      </c>
      <c r="C6" s="20"/>
      <c r="D6" s="21">
        <f>C6*120000</f>
        <v>0</v>
      </c>
      <c r="E6" s="21"/>
      <c r="F6" s="21">
        <f>ROUNDDOWN(C6*20000,0)</f>
        <v>0</v>
      </c>
      <c r="G6" s="21">
        <f>D6+F6</f>
        <v>0</v>
      </c>
    </row>
    <row r="7" spans="1:9" ht="22.5" customHeight="1">
      <c r="A7" s="73"/>
      <c r="B7" s="58"/>
      <c r="C7" s="22"/>
      <c r="D7" s="23">
        <f>C7*120000</f>
        <v>0</v>
      </c>
      <c r="E7" s="23"/>
      <c r="F7" s="23">
        <f>ROUNDDOWN(C7*20000,0)</f>
        <v>0</v>
      </c>
      <c r="G7" s="23">
        <f>D7+F7</f>
        <v>0</v>
      </c>
      <c r="H7" s="10">
        <f>+G7-G6</f>
        <v>0</v>
      </c>
      <c r="I7" s="9"/>
    </row>
    <row r="8" spans="1:7" ht="22.5" customHeight="1">
      <c r="A8" s="73"/>
      <c r="B8" s="57" t="s">
        <v>46</v>
      </c>
      <c r="C8" s="20"/>
      <c r="D8" s="21">
        <f>C8*115000</f>
        <v>0</v>
      </c>
      <c r="E8" s="21"/>
      <c r="F8" s="21">
        <f>ROUNDDOWN(C8*19000,0)</f>
        <v>0</v>
      </c>
      <c r="G8" s="21">
        <f aca="true" t="shared" si="0" ref="G8:G27">D8+F8</f>
        <v>0</v>
      </c>
    </row>
    <row r="9" spans="1:9" ht="22.5" customHeight="1">
      <c r="A9" s="73"/>
      <c r="B9" s="58"/>
      <c r="C9" s="22"/>
      <c r="D9" s="23">
        <f>C9*115000</f>
        <v>0</v>
      </c>
      <c r="E9" s="23"/>
      <c r="F9" s="23">
        <f>ROUNDDOWN(C9*19000,0)</f>
        <v>0</v>
      </c>
      <c r="G9" s="23">
        <f t="shared" si="0"/>
        <v>0</v>
      </c>
      <c r="H9" s="10">
        <f>+G9-G8</f>
        <v>0</v>
      </c>
      <c r="I9" s="9"/>
    </row>
    <row r="10" spans="1:7" ht="22.5" customHeight="1">
      <c r="A10" s="73"/>
      <c r="B10" s="57" t="s">
        <v>47</v>
      </c>
      <c r="C10" s="20"/>
      <c r="D10" s="21">
        <f>C10*110000</f>
        <v>0</v>
      </c>
      <c r="E10" s="21"/>
      <c r="F10" s="21">
        <f>ROUNDDOWN(C10*18000,0)</f>
        <v>0</v>
      </c>
      <c r="G10" s="21">
        <f t="shared" si="0"/>
        <v>0</v>
      </c>
    </row>
    <row r="11" spans="1:9" ht="22.5" customHeight="1">
      <c r="A11" s="74"/>
      <c r="B11" s="58"/>
      <c r="C11" s="22"/>
      <c r="D11" s="23">
        <f>C11*110000</f>
        <v>0</v>
      </c>
      <c r="E11" s="23"/>
      <c r="F11" s="23">
        <f>ROUNDDOWN(C11*18000,0)</f>
        <v>0</v>
      </c>
      <c r="G11" s="23">
        <f t="shared" si="0"/>
        <v>0</v>
      </c>
      <c r="H11" s="10">
        <f>+G11-G10</f>
        <v>0</v>
      </c>
      <c r="I11" s="9"/>
    </row>
    <row r="12" spans="1:7" ht="22.5" customHeight="1">
      <c r="A12" s="72" t="s">
        <v>26</v>
      </c>
      <c r="B12" s="57" t="s">
        <v>48</v>
      </c>
      <c r="C12" s="18"/>
      <c r="D12" s="21">
        <f>C12*285000</f>
        <v>0</v>
      </c>
      <c r="E12" s="21"/>
      <c r="F12" s="21">
        <f>ROUNDDOWN(C12*47500,0)</f>
        <v>0</v>
      </c>
      <c r="G12" s="19">
        <f t="shared" si="0"/>
        <v>0</v>
      </c>
    </row>
    <row r="13" spans="1:8" ht="22.5" customHeight="1">
      <c r="A13" s="56"/>
      <c r="B13" s="58"/>
      <c r="C13" s="24"/>
      <c r="D13" s="23">
        <f>C13*285000</f>
        <v>0</v>
      </c>
      <c r="E13" s="23"/>
      <c r="F13" s="23">
        <f>ROUNDDOWN(C13*47500,0)</f>
        <v>0</v>
      </c>
      <c r="G13" s="25">
        <f t="shared" si="0"/>
        <v>0</v>
      </c>
      <c r="H13" s="10">
        <f>+G13-G12</f>
        <v>0</v>
      </c>
    </row>
    <row r="14" spans="1:7" ht="22.5" customHeight="1">
      <c r="A14" s="56"/>
      <c r="B14" s="57" t="s">
        <v>49</v>
      </c>
      <c r="C14" s="18"/>
      <c r="D14" s="21">
        <f>C14*265000</f>
        <v>0</v>
      </c>
      <c r="E14" s="21"/>
      <c r="F14" s="21">
        <f>ROUNDDOWN(C14*44000,0)</f>
        <v>0</v>
      </c>
      <c r="G14" s="19">
        <f t="shared" si="0"/>
        <v>0</v>
      </c>
    </row>
    <row r="15" spans="1:8" ht="22.5" customHeight="1">
      <c r="A15" s="56"/>
      <c r="B15" s="58"/>
      <c r="C15" s="24"/>
      <c r="D15" s="23">
        <f>C15*265000</f>
        <v>0</v>
      </c>
      <c r="E15" s="23"/>
      <c r="F15" s="23">
        <f>ROUNDDOWN(C15*44000,0)</f>
        <v>0</v>
      </c>
      <c r="G15" s="25">
        <f t="shared" si="0"/>
        <v>0</v>
      </c>
      <c r="H15" s="10">
        <f>+G15-G14</f>
        <v>0</v>
      </c>
    </row>
    <row r="16" spans="1:7" ht="22.5" customHeight="1">
      <c r="A16" s="56"/>
      <c r="B16" s="57" t="s">
        <v>50</v>
      </c>
      <c r="C16" s="18"/>
      <c r="D16" s="21">
        <f>C16*245000</f>
        <v>0</v>
      </c>
      <c r="E16" s="21"/>
      <c r="F16" s="21">
        <f>ROUNDDOWN(C16*40500,0)</f>
        <v>0</v>
      </c>
      <c r="G16" s="19">
        <f t="shared" si="0"/>
        <v>0</v>
      </c>
    </row>
    <row r="17" spans="1:8" ht="22.5" customHeight="1">
      <c r="A17" s="58"/>
      <c r="B17" s="58"/>
      <c r="C17" s="24"/>
      <c r="D17" s="23">
        <f>C17*245000</f>
        <v>0</v>
      </c>
      <c r="E17" s="23"/>
      <c r="F17" s="23">
        <f>ROUNDDOWN(C17*40500,0)</f>
        <v>0</v>
      </c>
      <c r="G17" s="25">
        <f t="shared" si="0"/>
        <v>0</v>
      </c>
      <c r="H17" s="10">
        <f>+G17-G16</f>
        <v>0</v>
      </c>
    </row>
    <row r="18" spans="1:7" ht="22.5" customHeight="1">
      <c r="A18" s="57" t="s">
        <v>4</v>
      </c>
      <c r="B18" s="57" t="s">
        <v>45</v>
      </c>
      <c r="C18" s="20"/>
      <c r="D18" s="21">
        <f>C18*120000</f>
        <v>0</v>
      </c>
      <c r="E18" s="21"/>
      <c r="F18" s="21">
        <f>ROUNDDOWN(C18*20000,0)</f>
        <v>0</v>
      </c>
      <c r="G18" s="21">
        <f t="shared" si="0"/>
        <v>0</v>
      </c>
    </row>
    <row r="19" spans="1:11" ht="22.5" customHeight="1">
      <c r="A19" s="56"/>
      <c r="B19" s="58"/>
      <c r="C19" s="24"/>
      <c r="D19" s="23">
        <f>C19*120000</f>
        <v>0</v>
      </c>
      <c r="E19" s="23"/>
      <c r="F19" s="23">
        <f>ROUNDDOWN(C19*20000,0)</f>
        <v>0</v>
      </c>
      <c r="G19" s="23">
        <f t="shared" si="0"/>
        <v>0</v>
      </c>
      <c r="H19" s="10">
        <f>+G19-G18</f>
        <v>0</v>
      </c>
      <c r="K19" s="16"/>
    </row>
    <row r="20" spans="1:7" ht="22.5" customHeight="1">
      <c r="A20" s="56"/>
      <c r="B20" s="57" t="s">
        <v>46</v>
      </c>
      <c r="C20" s="20"/>
      <c r="D20" s="21">
        <f>C20*115000</f>
        <v>0</v>
      </c>
      <c r="E20" s="21"/>
      <c r="F20" s="21">
        <f>ROUNDDOWN(C20*19000,0)</f>
        <v>0</v>
      </c>
      <c r="G20" s="21">
        <f t="shared" si="0"/>
        <v>0</v>
      </c>
    </row>
    <row r="21" spans="1:11" ht="22.5" customHeight="1">
      <c r="A21" s="56"/>
      <c r="B21" s="58"/>
      <c r="C21" s="24"/>
      <c r="D21" s="23">
        <f>C21*115000</f>
        <v>0</v>
      </c>
      <c r="E21" s="23"/>
      <c r="F21" s="23">
        <f>ROUNDDOWN(C21*19000,0)</f>
        <v>0</v>
      </c>
      <c r="G21" s="23">
        <f t="shared" si="0"/>
        <v>0</v>
      </c>
      <c r="H21" s="10">
        <f>+G21-G20</f>
        <v>0</v>
      </c>
      <c r="K21" s="16"/>
    </row>
    <row r="22" spans="1:7" ht="22.5" customHeight="1">
      <c r="A22" s="56"/>
      <c r="B22" s="57" t="s">
        <v>47</v>
      </c>
      <c r="C22" s="20"/>
      <c r="D22" s="21">
        <f>C22*110000</f>
        <v>0</v>
      </c>
      <c r="E22" s="21"/>
      <c r="F22" s="21">
        <f>ROUNDDOWN(C22*18000,0)</f>
        <v>0</v>
      </c>
      <c r="G22" s="21">
        <f t="shared" si="0"/>
        <v>0</v>
      </c>
    </row>
    <row r="23" spans="1:11" ht="22.5" customHeight="1">
      <c r="A23" s="58"/>
      <c r="B23" s="58"/>
      <c r="C23" s="24"/>
      <c r="D23" s="23">
        <f>C23*110000</f>
        <v>0</v>
      </c>
      <c r="E23" s="23"/>
      <c r="F23" s="23">
        <f>ROUNDDOWN(C23*18000,0)</f>
        <v>0</v>
      </c>
      <c r="G23" s="23">
        <f t="shared" si="0"/>
        <v>0</v>
      </c>
      <c r="H23" s="10">
        <f>+G23-G22</f>
        <v>0</v>
      </c>
      <c r="K23" s="16"/>
    </row>
    <row r="24" spans="1:11" ht="22.5" customHeight="1">
      <c r="A24" s="59" t="s">
        <v>14</v>
      </c>
      <c r="B24" s="57" t="s">
        <v>51</v>
      </c>
      <c r="C24" s="28"/>
      <c r="D24" s="21">
        <f>C24*800</f>
        <v>0</v>
      </c>
      <c r="E24" s="21"/>
      <c r="F24" s="21">
        <f>C24*100</f>
        <v>0</v>
      </c>
      <c r="G24" s="21">
        <f>D24+F24</f>
        <v>0</v>
      </c>
      <c r="K24" s="16"/>
    </row>
    <row r="25" spans="1:11" ht="22.5" customHeight="1">
      <c r="A25" s="60"/>
      <c r="B25" s="61"/>
      <c r="C25" s="27"/>
      <c r="D25" s="23">
        <f>C25*800</f>
        <v>0</v>
      </c>
      <c r="E25" s="23"/>
      <c r="F25" s="23">
        <f>C25*100</f>
        <v>0</v>
      </c>
      <c r="G25" s="25">
        <f>D25+F25</f>
        <v>0</v>
      </c>
      <c r="H25" s="10">
        <f>+G25-G24</f>
        <v>0</v>
      </c>
      <c r="K25" s="16"/>
    </row>
    <row r="26" spans="1:7" ht="22.5" customHeight="1">
      <c r="A26" s="59" t="s">
        <v>24</v>
      </c>
      <c r="B26" s="57" t="s">
        <v>53</v>
      </c>
      <c r="C26" s="26"/>
      <c r="D26" s="21">
        <f>C26*50000</f>
        <v>0</v>
      </c>
      <c r="E26" s="21"/>
      <c r="F26" s="21">
        <f>C26*8000</f>
        <v>0</v>
      </c>
      <c r="G26" s="21">
        <f>D26+F26</f>
        <v>0</v>
      </c>
    </row>
    <row r="27" spans="1:8" ht="22.5" customHeight="1">
      <c r="A27" s="66"/>
      <c r="B27" s="58"/>
      <c r="C27" s="49"/>
      <c r="D27" s="23">
        <f>C27*50000</f>
        <v>0</v>
      </c>
      <c r="E27" s="23"/>
      <c r="F27" s="23">
        <f>C27*8000</f>
        <v>0</v>
      </c>
      <c r="G27" s="23">
        <f>D27+F27</f>
        <v>0</v>
      </c>
      <c r="H27" s="10">
        <f>+G27-G26</f>
        <v>0</v>
      </c>
    </row>
    <row r="28" spans="1:7" ht="22.5" customHeight="1">
      <c r="A28" s="59" t="s">
        <v>5</v>
      </c>
      <c r="B28" s="57"/>
      <c r="C28" s="57"/>
      <c r="D28" s="21">
        <f>+D4+D6+D12+D18+D26+D24+D8+D10+D14+D16+D20+D22</f>
        <v>0</v>
      </c>
      <c r="E28" s="21"/>
      <c r="F28" s="21">
        <f>+F4+F6+F12+F18+F26+F24+F8+F10+F14+F16+F20+F22</f>
        <v>0</v>
      </c>
      <c r="G28" s="21">
        <f>+G4+G6+G12+G18+G26+G24+G8+G10+G14+G16+G20+G22</f>
        <v>0</v>
      </c>
    </row>
    <row r="29" spans="1:8" ht="22.5" customHeight="1">
      <c r="A29" s="60"/>
      <c r="B29" s="61"/>
      <c r="C29" s="61"/>
      <c r="D29" s="25">
        <f>+D5+D7+D13+D19+D27+D25+D9+D11+D15+D17+D21+D23</f>
        <v>0</v>
      </c>
      <c r="E29" s="25"/>
      <c r="F29" s="25">
        <f>+F5+F7+F13+F19+F27+F25+F9+F11+F15+F17+F21+F23</f>
        <v>0</v>
      </c>
      <c r="G29" s="25">
        <f>+G5+G7+G13+G19+G27+G25+G9+G11+G15+G17+G21+G23</f>
        <v>0</v>
      </c>
      <c r="H29" s="10">
        <f>+G29-G28</f>
        <v>0</v>
      </c>
    </row>
    <row r="30" spans="1:7" ht="22.5" customHeight="1">
      <c r="A30" s="53" t="s">
        <v>25</v>
      </c>
      <c r="B30" s="55" t="s">
        <v>6</v>
      </c>
      <c r="C30" s="7"/>
      <c r="D30" s="38">
        <f>G30</f>
        <v>0</v>
      </c>
      <c r="E30" s="38"/>
      <c r="F30" s="38"/>
      <c r="G30" s="7"/>
    </row>
    <row r="31" spans="1:8" ht="22.5" customHeight="1">
      <c r="A31" s="54"/>
      <c r="B31" s="56"/>
      <c r="C31" s="17"/>
      <c r="D31" s="39">
        <f>G31</f>
        <v>0</v>
      </c>
      <c r="E31" s="39"/>
      <c r="F31" s="39"/>
      <c r="G31" s="17"/>
      <c r="H31" s="10">
        <f>+G31-G30</f>
        <v>0</v>
      </c>
    </row>
    <row r="32" spans="1:7" ht="22.5" customHeight="1">
      <c r="A32" s="54"/>
      <c r="B32" s="68" t="s">
        <v>18</v>
      </c>
      <c r="C32" s="35"/>
      <c r="D32" s="40">
        <f>G32</f>
        <v>0</v>
      </c>
      <c r="E32" s="40"/>
      <c r="F32" s="40"/>
      <c r="G32" s="35"/>
    </row>
    <row r="33" spans="1:8" ht="22.5" customHeight="1">
      <c r="A33" s="71"/>
      <c r="B33" s="69"/>
      <c r="C33" s="8"/>
      <c r="D33" s="41">
        <f>G33</f>
        <v>0</v>
      </c>
      <c r="E33" s="41"/>
      <c r="F33" s="41"/>
      <c r="G33" s="8"/>
      <c r="H33" s="10">
        <f>+G33-G32</f>
        <v>0</v>
      </c>
    </row>
    <row r="34" spans="1:8" ht="22.5" customHeight="1">
      <c r="A34" s="53" t="s">
        <v>7</v>
      </c>
      <c r="B34" s="55"/>
      <c r="C34" s="55"/>
      <c r="D34" s="3">
        <f aca="true" t="shared" si="1" ref="D34:F35">+D28+D30+D32</f>
        <v>0</v>
      </c>
      <c r="E34" s="3">
        <f t="shared" si="1"/>
        <v>0</v>
      </c>
      <c r="F34" s="3">
        <f t="shared" si="1"/>
        <v>0</v>
      </c>
      <c r="G34" s="3">
        <f>+G28+G30+G32</f>
        <v>0</v>
      </c>
      <c r="H34" s="11"/>
    </row>
    <row r="35" spans="1:9" ht="22.5" customHeight="1" thickBot="1">
      <c r="A35" s="67"/>
      <c r="B35" s="62"/>
      <c r="C35" s="62"/>
      <c r="D35" s="29">
        <f t="shared" si="1"/>
        <v>0</v>
      </c>
      <c r="E35" s="29">
        <f t="shared" si="1"/>
        <v>0</v>
      </c>
      <c r="F35" s="29">
        <f t="shared" si="1"/>
        <v>0</v>
      </c>
      <c r="G35" s="29">
        <f>+G29+G31+G33</f>
        <v>0</v>
      </c>
      <c r="H35" s="10">
        <f>+G35-G34</f>
        <v>0</v>
      </c>
      <c r="I35" s="12" t="e">
        <f>+G35/G34</f>
        <v>#DIV/0!</v>
      </c>
    </row>
    <row r="36" spans="1:7" ht="35.25" customHeight="1" thickTop="1">
      <c r="A36" s="63" t="s">
        <v>20</v>
      </c>
      <c r="B36" s="70"/>
      <c r="C36" s="32"/>
      <c r="D36" s="42"/>
      <c r="E36" s="42"/>
      <c r="F36" s="42"/>
      <c r="G36" s="33"/>
    </row>
    <row r="37" spans="1:7" ht="35.25" customHeight="1">
      <c r="A37" s="64"/>
      <c r="B37" s="69"/>
      <c r="C37" s="34"/>
      <c r="D37" s="43"/>
      <c r="E37" s="43"/>
      <c r="F37" s="43"/>
      <c r="G37" s="4"/>
    </row>
    <row r="38" spans="1:7" ht="35.25" customHeight="1">
      <c r="A38" s="65" t="s">
        <v>15</v>
      </c>
      <c r="B38" s="56"/>
      <c r="C38" s="18"/>
      <c r="D38" s="36"/>
      <c r="E38" s="36"/>
      <c r="F38" s="36"/>
      <c r="G38" s="19"/>
    </row>
    <row r="39" spans="1:7" ht="35.25" customHeight="1">
      <c r="A39" s="60"/>
      <c r="B39" s="61"/>
      <c r="C39" s="24"/>
      <c r="D39" s="37"/>
      <c r="E39" s="37"/>
      <c r="F39" s="37"/>
      <c r="G39" s="25"/>
    </row>
    <row r="40" spans="1:9" ht="22.5" customHeight="1">
      <c r="A40" s="13" t="s">
        <v>34</v>
      </c>
      <c r="B40" s="14"/>
      <c r="C40" s="14"/>
      <c r="D40" s="44"/>
      <c r="E40" s="44"/>
      <c r="F40" s="44"/>
      <c r="G40" s="15"/>
      <c r="I40" s="12"/>
    </row>
    <row r="41" spans="1:7" ht="44.25" customHeight="1">
      <c r="A41" s="52" t="s">
        <v>10</v>
      </c>
      <c r="B41" s="52"/>
      <c r="C41" s="52"/>
      <c r="D41" s="52"/>
      <c r="E41" s="52"/>
      <c r="F41" s="52"/>
      <c r="G41" s="52"/>
    </row>
    <row r="43" spans="1:3" ht="29.25" customHeight="1">
      <c r="A43" s="5"/>
      <c r="B43" s="6"/>
      <c r="C43" t="s">
        <v>9</v>
      </c>
    </row>
    <row r="44" ht="13.5">
      <c r="G44" s="2"/>
    </row>
  </sheetData>
  <sheetProtection/>
  <mergeCells count="34">
    <mergeCell ref="A36:A37"/>
    <mergeCell ref="B36:B37"/>
    <mergeCell ref="A38:A39"/>
    <mergeCell ref="B38:B39"/>
    <mergeCell ref="A41:G41"/>
    <mergeCell ref="G1:I1"/>
    <mergeCell ref="C28:C29"/>
    <mergeCell ref="A30:A33"/>
    <mergeCell ref="B30:B31"/>
    <mergeCell ref="B32:B33"/>
    <mergeCell ref="A34:A35"/>
    <mergeCell ref="B34:B35"/>
    <mergeCell ref="C34:C35"/>
    <mergeCell ref="A24:A25"/>
    <mergeCell ref="B24:B25"/>
    <mergeCell ref="A26:A27"/>
    <mergeCell ref="B26:B27"/>
    <mergeCell ref="A28:A29"/>
    <mergeCell ref="B28:B29"/>
    <mergeCell ref="A12:A17"/>
    <mergeCell ref="B12:B13"/>
    <mergeCell ref="B14:B15"/>
    <mergeCell ref="B16:B17"/>
    <mergeCell ref="A18:A23"/>
    <mergeCell ref="B18:B19"/>
    <mergeCell ref="B20:B21"/>
    <mergeCell ref="B22:B23"/>
    <mergeCell ref="A4:A5"/>
    <mergeCell ref="B4:B5"/>
    <mergeCell ref="C4:C5"/>
    <mergeCell ref="A6:A11"/>
    <mergeCell ref="B6:B7"/>
    <mergeCell ref="B8:B9"/>
    <mergeCell ref="B10:B1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9">
      <selection activeCell="G40" sqref="G40"/>
    </sheetView>
  </sheetViews>
  <sheetFormatPr defaultColWidth="9.140625" defaultRowHeight="15"/>
  <cols>
    <col min="1" max="1" width="22.8515625" style="0" customWidth="1"/>
    <col min="2" max="2" width="12.8515625" style="0" customWidth="1"/>
    <col min="3" max="3" width="15.421875" style="0" customWidth="1"/>
    <col min="4" max="6" width="15.421875" style="5" customWidth="1"/>
    <col min="7" max="7" width="15.421875" style="0" customWidth="1"/>
    <col min="8" max="8" width="8.28125" style="10" customWidth="1"/>
    <col min="9" max="9" width="6.140625" style="0" customWidth="1"/>
  </cols>
  <sheetData>
    <row r="1" spans="1:9" ht="22.5" customHeight="1">
      <c r="A1" s="1" t="s">
        <v>8</v>
      </c>
      <c r="B1" s="1"/>
      <c r="F1" s="50" t="s">
        <v>36</v>
      </c>
      <c r="G1" s="75"/>
      <c r="H1" s="75"/>
      <c r="I1" s="75"/>
    </row>
    <row r="2" spans="1:2" ht="22.5" customHeight="1">
      <c r="A2" s="1" t="s">
        <v>11</v>
      </c>
      <c r="B2" s="1"/>
    </row>
    <row r="3" spans="1:9" ht="47.25" customHeight="1">
      <c r="A3" s="45" t="s">
        <v>0</v>
      </c>
      <c r="B3" s="45" t="s">
        <v>1</v>
      </c>
      <c r="C3" s="45" t="s">
        <v>2</v>
      </c>
      <c r="D3" s="46" t="s">
        <v>23</v>
      </c>
      <c r="E3" s="46" t="s">
        <v>22</v>
      </c>
      <c r="F3" s="46" t="s">
        <v>21</v>
      </c>
      <c r="G3" s="45" t="s">
        <v>19</v>
      </c>
      <c r="H3" s="30" t="s">
        <v>16</v>
      </c>
      <c r="I3" s="31" t="s">
        <v>17</v>
      </c>
    </row>
    <row r="4" spans="1:7" ht="22.5" customHeight="1">
      <c r="A4" s="53" t="s">
        <v>12</v>
      </c>
      <c r="B4" s="55" t="s">
        <v>44</v>
      </c>
      <c r="C4" s="55" t="s">
        <v>3</v>
      </c>
      <c r="D4" s="47">
        <f>IF(G4&gt;112500,112500,G4)</f>
        <v>0</v>
      </c>
      <c r="E4" s="21"/>
      <c r="F4" s="21"/>
      <c r="G4" s="7"/>
    </row>
    <row r="5" spans="1:8" ht="22.5" customHeight="1">
      <c r="A5" s="54"/>
      <c r="B5" s="56"/>
      <c r="C5" s="56"/>
      <c r="D5" s="48">
        <f>IF(G5&gt;112500,112500,G5)</f>
        <v>0</v>
      </c>
      <c r="E5" s="23"/>
      <c r="F5" s="23"/>
      <c r="G5" s="17"/>
      <c r="H5" s="10">
        <f>+G5-G4</f>
        <v>0</v>
      </c>
    </row>
    <row r="6" spans="1:7" ht="22.5" customHeight="1">
      <c r="A6" s="72" t="s">
        <v>13</v>
      </c>
      <c r="B6" s="57" t="s">
        <v>37</v>
      </c>
      <c r="C6" s="20"/>
      <c r="D6" s="21">
        <f>C6*120000</f>
        <v>0</v>
      </c>
      <c r="E6" s="21"/>
      <c r="F6" s="21"/>
      <c r="G6" s="21">
        <f>D6</f>
        <v>0</v>
      </c>
    </row>
    <row r="7" spans="1:9" ht="22.5" customHeight="1">
      <c r="A7" s="73"/>
      <c r="B7" s="58"/>
      <c r="C7" s="22"/>
      <c r="D7" s="23">
        <f>C7*120000</f>
        <v>0</v>
      </c>
      <c r="E7" s="23"/>
      <c r="F7" s="23"/>
      <c r="G7" s="23">
        <f aca="true" t="shared" si="0" ref="G7:G27">D7</f>
        <v>0</v>
      </c>
      <c r="H7" s="10">
        <f>+G7-G6</f>
        <v>0</v>
      </c>
      <c r="I7" s="9"/>
    </row>
    <row r="8" spans="1:7" ht="22.5" customHeight="1">
      <c r="A8" s="73"/>
      <c r="B8" s="57" t="s">
        <v>38</v>
      </c>
      <c r="C8" s="20"/>
      <c r="D8" s="21">
        <f>C8*115000</f>
        <v>0</v>
      </c>
      <c r="E8" s="21"/>
      <c r="F8" s="21"/>
      <c r="G8" s="21">
        <f t="shared" si="0"/>
        <v>0</v>
      </c>
    </row>
    <row r="9" spans="1:9" ht="22.5" customHeight="1">
      <c r="A9" s="73"/>
      <c r="B9" s="58"/>
      <c r="C9" s="22"/>
      <c r="D9" s="23">
        <f>C9*115000</f>
        <v>0</v>
      </c>
      <c r="E9" s="23"/>
      <c r="F9" s="23"/>
      <c r="G9" s="23">
        <f t="shared" si="0"/>
        <v>0</v>
      </c>
      <c r="H9" s="10">
        <f>+G9-G8</f>
        <v>0</v>
      </c>
      <c r="I9" s="9"/>
    </row>
    <row r="10" spans="1:7" ht="22.5" customHeight="1">
      <c r="A10" s="73"/>
      <c r="B10" s="57" t="s">
        <v>39</v>
      </c>
      <c r="C10" s="20"/>
      <c r="D10" s="21">
        <f>C10*110000</f>
        <v>0</v>
      </c>
      <c r="E10" s="21"/>
      <c r="F10" s="21"/>
      <c r="G10" s="21">
        <f t="shared" si="0"/>
        <v>0</v>
      </c>
    </row>
    <row r="11" spans="1:9" ht="22.5" customHeight="1">
      <c r="A11" s="74"/>
      <c r="B11" s="58"/>
      <c r="C11" s="22"/>
      <c r="D11" s="23">
        <f>C11*110000</f>
        <v>0</v>
      </c>
      <c r="E11" s="23"/>
      <c r="F11" s="23"/>
      <c r="G11" s="23">
        <f t="shared" si="0"/>
        <v>0</v>
      </c>
      <c r="H11" s="10">
        <f>+G11-G10</f>
        <v>0</v>
      </c>
      <c r="I11" s="9"/>
    </row>
    <row r="12" spans="1:7" ht="22.5" customHeight="1">
      <c r="A12" s="72" t="s">
        <v>26</v>
      </c>
      <c r="B12" s="57" t="s">
        <v>40</v>
      </c>
      <c r="C12" s="18"/>
      <c r="D12" s="21">
        <f>C12*285000</f>
        <v>0</v>
      </c>
      <c r="E12" s="21"/>
      <c r="F12" s="21"/>
      <c r="G12" s="19">
        <f t="shared" si="0"/>
        <v>0</v>
      </c>
    </row>
    <row r="13" spans="1:8" ht="22.5" customHeight="1">
      <c r="A13" s="56"/>
      <c r="B13" s="58"/>
      <c r="C13" s="24"/>
      <c r="D13" s="23">
        <f>C13*285000</f>
        <v>0</v>
      </c>
      <c r="E13" s="23"/>
      <c r="F13" s="23"/>
      <c r="G13" s="25">
        <f t="shared" si="0"/>
        <v>0</v>
      </c>
      <c r="H13" s="10">
        <f>+G13-G12</f>
        <v>0</v>
      </c>
    </row>
    <row r="14" spans="1:7" ht="22.5" customHeight="1">
      <c r="A14" s="56"/>
      <c r="B14" s="57" t="s">
        <v>41</v>
      </c>
      <c r="C14" s="18"/>
      <c r="D14" s="21">
        <f>C14*265000</f>
        <v>0</v>
      </c>
      <c r="E14" s="21"/>
      <c r="F14" s="21"/>
      <c r="G14" s="19">
        <f t="shared" si="0"/>
        <v>0</v>
      </c>
    </row>
    <row r="15" spans="1:8" ht="22.5" customHeight="1">
      <c r="A15" s="56"/>
      <c r="B15" s="58"/>
      <c r="C15" s="24"/>
      <c r="D15" s="23">
        <f>C15*265000</f>
        <v>0</v>
      </c>
      <c r="E15" s="23"/>
      <c r="F15" s="23"/>
      <c r="G15" s="25">
        <f t="shared" si="0"/>
        <v>0</v>
      </c>
      <c r="H15" s="10">
        <f>+G15-G14</f>
        <v>0</v>
      </c>
    </row>
    <row r="16" spans="1:7" ht="22.5" customHeight="1">
      <c r="A16" s="56"/>
      <c r="B16" s="57" t="s">
        <v>42</v>
      </c>
      <c r="C16" s="18"/>
      <c r="D16" s="21">
        <f>C16*245000</f>
        <v>0</v>
      </c>
      <c r="E16" s="21"/>
      <c r="F16" s="21"/>
      <c r="G16" s="19">
        <f t="shared" si="0"/>
        <v>0</v>
      </c>
    </row>
    <row r="17" spans="1:8" ht="22.5" customHeight="1">
      <c r="A17" s="58"/>
      <c r="B17" s="58"/>
      <c r="C17" s="24"/>
      <c r="D17" s="23">
        <f>C17*245000</f>
        <v>0</v>
      </c>
      <c r="E17" s="23"/>
      <c r="F17" s="23"/>
      <c r="G17" s="25">
        <f t="shared" si="0"/>
        <v>0</v>
      </c>
      <c r="H17" s="10">
        <f>+G17-G16</f>
        <v>0</v>
      </c>
    </row>
    <row r="18" spans="1:7" ht="22.5" customHeight="1">
      <c r="A18" s="57" t="s">
        <v>4</v>
      </c>
      <c r="B18" s="57" t="s">
        <v>37</v>
      </c>
      <c r="C18" s="20"/>
      <c r="D18" s="21">
        <f>C18*120000</f>
        <v>0</v>
      </c>
      <c r="E18" s="21"/>
      <c r="F18" s="21"/>
      <c r="G18" s="21">
        <f t="shared" si="0"/>
        <v>0</v>
      </c>
    </row>
    <row r="19" spans="1:11" ht="22.5" customHeight="1">
      <c r="A19" s="56"/>
      <c r="B19" s="58"/>
      <c r="C19" s="24"/>
      <c r="D19" s="23">
        <f>C19*120000</f>
        <v>0</v>
      </c>
      <c r="E19" s="23"/>
      <c r="F19" s="23"/>
      <c r="G19" s="23">
        <f t="shared" si="0"/>
        <v>0</v>
      </c>
      <c r="H19" s="10">
        <f>+G19-G18</f>
        <v>0</v>
      </c>
      <c r="K19" s="16"/>
    </row>
    <row r="20" spans="1:7" ht="22.5" customHeight="1">
      <c r="A20" s="56"/>
      <c r="B20" s="57" t="s">
        <v>38</v>
      </c>
      <c r="C20" s="20"/>
      <c r="D20" s="21">
        <f>C20*115000</f>
        <v>0</v>
      </c>
      <c r="E20" s="21"/>
      <c r="F20" s="21"/>
      <c r="G20" s="21">
        <f t="shared" si="0"/>
        <v>0</v>
      </c>
    </row>
    <row r="21" spans="1:11" ht="22.5" customHeight="1">
      <c r="A21" s="56"/>
      <c r="B21" s="58"/>
      <c r="C21" s="24"/>
      <c r="D21" s="23">
        <f>C21*115000</f>
        <v>0</v>
      </c>
      <c r="E21" s="23"/>
      <c r="F21" s="23"/>
      <c r="G21" s="23">
        <f t="shared" si="0"/>
        <v>0</v>
      </c>
      <c r="H21" s="10">
        <f>+G21-G20</f>
        <v>0</v>
      </c>
      <c r="K21" s="16"/>
    </row>
    <row r="22" spans="1:7" ht="22.5" customHeight="1">
      <c r="A22" s="56"/>
      <c r="B22" s="57" t="s">
        <v>39</v>
      </c>
      <c r="C22" s="20"/>
      <c r="D22" s="21">
        <f>C22*110000</f>
        <v>0</v>
      </c>
      <c r="E22" s="21"/>
      <c r="F22" s="21"/>
      <c r="G22" s="21">
        <f t="shared" si="0"/>
        <v>0</v>
      </c>
    </row>
    <row r="23" spans="1:11" ht="22.5" customHeight="1">
      <c r="A23" s="58"/>
      <c r="B23" s="58"/>
      <c r="C23" s="24"/>
      <c r="D23" s="23">
        <f>C23*110000</f>
        <v>0</v>
      </c>
      <c r="E23" s="23"/>
      <c r="F23" s="23"/>
      <c r="G23" s="23">
        <f t="shared" si="0"/>
        <v>0</v>
      </c>
      <c r="H23" s="10">
        <f>+G23-G22</f>
        <v>0</v>
      </c>
      <c r="K23" s="16"/>
    </row>
    <row r="24" spans="1:11" ht="22.5" customHeight="1">
      <c r="A24" s="59" t="s">
        <v>14</v>
      </c>
      <c r="B24" s="57" t="s">
        <v>43</v>
      </c>
      <c r="C24" s="28"/>
      <c r="D24" s="21">
        <f>C24*800</f>
        <v>0</v>
      </c>
      <c r="E24" s="21"/>
      <c r="F24" s="21"/>
      <c r="G24" s="21">
        <f t="shared" si="0"/>
        <v>0</v>
      </c>
      <c r="K24" s="16"/>
    </row>
    <row r="25" spans="1:11" ht="22.5" customHeight="1">
      <c r="A25" s="60"/>
      <c r="B25" s="61"/>
      <c r="C25" s="27"/>
      <c r="D25" s="23">
        <f>C25*800</f>
        <v>0</v>
      </c>
      <c r="E25" s="23"/>
      <c r="F25" s="23"/>
      <c r="G25" s="25">
        <f>D25</f>
        <v>0</v>
      </c>
      <c r="H25" s="10">
        <f>+G25-G24</f>
        <v>0</v>
      </c>
      <c r="K25" s="16"/>
    </row>
    <row r="26" spans="1:7" ht="22.5" customHeight="1">
      <c r="A26" s="59" t="s">
        <v>24</v>
      </c>
      <c r="B26" s="57" t="s">
        <v>54</v>
      </c>
      <c r="C26" s="26"/>
      <c r="D26" s="21">
        <f>C26*50000</f>
        <v>0</v>
      </c>
      <c r="E26" s="21"/>
      <c r="F26" s="21"/>
      <c r="G26" s="21">
        <f>D26</f>
        <v>0</v>
      </c>
    </row>
    <row r="27" spans="1:8" ht="22.5" customHeight="1">
      <c r="A27" s="66"/>
      <c r="B27" s="58"/>
      <c r="C27" s="49"/>
      <c r="D27" s="23">
        <f>C27*50000</f>
        <v>0</v>
      </c>
      <c r="E27" s="23"/>
      <c r="F27" s="23"/>
      <c r="G27" s="23">
        <f t="shared" si="0"/>
        <v>0</v>
      </c>
      <c r="H27" s="10">
        <f>+G27-G26</f>
        <v>0</v>
      </c>
    </row>
    <row r="28" spans="1:7" ht="22.5" customHeight="1">
      <c r="A28" s="59" t="s">
        <v>5</v>
      </c>
      <c r="B28" s="57"/>
      <c r="C28" s="57"/>
      <c r="D28" s="21">
        <f>+D4+D6+D12+D18+D26+D24</f>
        <v>0</v>
      </c>
      <c r="E28" s="21"/>
      <c r="F28" s="21"/>
      <c r="G28" s="21">
        <f>+G4+G6+G12+G18+G26+G24</f>
        <v>0</v>
      </c>
    </row>
    <row r="29" spans="1:8" ht="22.5" customHeight="1">
      <c r="A29" s="60"/>
      <c r="B29" s="61"/>
      <c r="C29" s="61"/>
      <c r="D29" s="25">
        <f>+D5+D7+D13+D19+D27+D25</f>
        <v>0</v>
      </c>
      <c r="E29" s="25"/>
      <c r="F29" s="25"/>
      <c r="G29" s="25">
        <f>+G5+G7+G13+G19+G27+G25</f>
        <v>0</v>
      </c>
      <c r="H29" s="10">
        <f>+G29-G28</f>
        <v>0</v>
      </c>
    </row>
    <row r="30" spans="1:7" ht="22.5" customHeight="1">
      <c r="A30" s="53" t="s">
        <v>25</v>
      </c>
      <c r="B30" s="55" t="s">
        <v>6</v>
      </c>
      <c r="C30" s="7"/>
      <c r="D30" s="38">
        <f>G30</f>
        <v>0</v>
      </c>
      <c r="E30" s="38"/>
      <c r="F30" s="38"/>
      <c r="G30" s="7"/>
    </row>
    <row r="31" spans="1:8" ht="22.5" customHeight="1">
      <c r="A31" s="54"/>
      <c r="B31" s="56"/>
      <c r="C31" s="17"/>
      <c r="D31" s="39">
        <f>G31</f>
        <v>0</v>
      </c>
      <c r="E31" s="39"/>
      <c r="F31" s="39"/>
      <c r="G31" s="17"/>
      <c r="H31" s="10">
        <f>+G31-G30</f>
        <v>0</v>
      </c>
    </row>
    <row r="32" spans="1:7" ht="22.5" customHeight="1">
      <c r="A32" s="54"/>
      <c r="B32" s="68" t="s">
        <v>18</v>
      </c>
      <c r="C32" s="35"/>
      <c r="D32" s="40">
        <f>G32</f>
        <v>0</v>
      </c>
      <c r="E32" s="40"/>
      <c r="F32" s="40"/>
      <c r="G32" s="35"/>
    </row>
    <row r="33" spans="1:8" ht="22.5" customHeight="1">
      <c r="A33" s="71"/>
      <c r="B33" s="69"/>
      <c r="C33" s="8"/>
      <c r="D33" s="41">
        <f>G33</f>
        <v>0</v>
      </c>
      <c r="E33" s="41"/>
      <c r="F33" s="41"/>
      <c r="G33" s="8"/>
      <c r="H33" s="10">
        <f>+G33-G32</f>
        <v>0</v>
      </c>
    </row>
    <row r="34" spans="1:8" ht="22.5" customHeight="1">
      <c r="A34" s="53" t="s">
        <v>7</v>
      </c>
      <c r="B34" s="55"/>
      <c r="C34" s="55"/>
      <c r="D34" s="3">
        <f aca="true" t="shared" si="1" ref="D34:F35">+D28+D30+D32</f>
        <v>0</v>
      </c>
      <c r="E34" s="3">
        <f t="shared" si="1"/>
        <v>0</v>
      </c>
      <c r="F34" s="3">
        <f t="shared" si="1"/>
        <v>0</v>
      </c>
      <c r="G34" s="3">
        <f>+G28+G30+G32</f>
        <v>0</v>
      </c>
      <c r="H34" s="11"/>
    </row>
    <row r="35" spans="1:9" ht="22.5" customHeight="1" thickBot="1">
      <c r="A35" s="67"/>
      <c r="B35" s="62"/>
      <c r="C35" s="62"/>
      <c r="D35" s="29">
        <f t="shared" si="1"/>
        <v>0</v>
      </c>
      <c r="E35" s="29">
        <f t="shared" si="1"/>
        <v>0</v>
      </c>
      <c r="F35" s="29">
        <f t="shared" si="1"/>
        <v>0</v>
      </c>
      <c r="G35" s="29">
        <f>+G29+G31+G33</f>
        <v>0</v>
      </c>
      <c r="H35" s="10">
        <f>+G35-G34</f>
        <v>0</v>
      </c>
      <c r="I35" s="12" t="e">
        <f>+G35/G34</f>
        <v>#DIV/0!</v>
      </c>
    </row>
    <row r="36" spans="1:7" ht="35.25" customHeight="1" thickTop="1">
      <c r="A36" s="63" t="s">
        <v>20</v>
      </c>
      <c r="B36" s="70"/>
      <c r="C36" s="32"/>
      <c r="D36" s="42"/>
      <c r="E36" s="42"/>
      <c r="F36" s="42"/>
      <c r="G36" s="33"/>
    </row>
    <row r="37" spans="1:7" ht="35.25" customHeight="1">
      <c r="A37" s="64"/>
      <c r="B37" s="69"/>
      <c r="C37" s="34"/>
      <c r="D37" s="43"/>
      <c r="E37" s="43"/>
      <c r="F37" s="43"/>
      <c r="G37" s="4"/>
    </row>
    <row r="38" spans="1:7" ht="35.25" customHeight="1">
      <c r="A38" s="65" t="s">
        <v>15</v>
      </c>
      <c r="B38" s="56"/>
      <c r="C38" s="18"/>
      <c r="D38" s="36"/>
      <c r="E38" s="36"/>
      <c r="F38" s="36"/>
      <c r="G38" s="19"/>
    </row>
    <row r="39" spans="1:7" ht="35.25" customHeight="1">
      <c r="A39" s="60"/>
      <c r="B39" s="61"/>
      <c r="C39" s="24"/>
      <c r="D39" s="37"/>
      <c r="E39" s="37"/>
      <c r="F39" s="37"/>
      <c r="G39" s="25"/>
    </row>
    <row r="40" spans="1:9" ht="22.5" customHeight="1">
      <c r="A40" s="13" t="s">
        <v>34</v>
      </c>
      <c r="B40" s="14"/>
      <c r="C40" s="14"/>
      <c r="D40" s="44"/>
      <c r="E40" s="44"/>
      <c r="F40" s="44"/>
      <c r="G40" s="15"/>
      <c r="I40" s="12"/>
    </row>
    <row r="41" spans="1:7" ht="44.25" customHeight="1">
      <c r="A41" s="52" t="s">
        <v>10</v>
      </c>
      <c r="B41" s="52"/>
      <c r="C41" s="52"/>
      <c r="D41" s="52"/>
      <c r="E41" s="52"/>
      <c r="F41" s="52"/>
      <c r="G41" s="52"/>
    </row>
    <row r="43" spans="1:3" ht="29.25" customHeight="1">
      <c r="A43" s="5"/>
      <c r="B43" s="6"/>
      <c r="C43" t="s">
        <v>9</v>
      </c>
    </row>
    <row r="44" ht="13.5">
      <c r="G44" s="2"/>
    </row>
  </sheetData>
  <sheetProtection/>
  <mergeCells count="34">
    <mergeCell ref="A36:A37"/>
    <mergeCell ref="B36:B37"/>
    <mergeCell ref="A38:A39"/>
    <mergeCell ref="B38:B39"/>
    <mergeCell ref="A41:G41"/>
    <mergeCell ref="G1:I1"/>
    <mergeCell ref="C28:C29"/>
    <mergeCell ref="A30:A33"/>
    <mergeCell ref="B30:B31"/>
    <mergeCell ref="B32:B33"/>
    <mergeCell ref="A34:A35"/>
    <mergeCell ref="B34:B35"/>
    <mergeCell ref="C34:C35"/>
    <mergeCell ref="A24:A25"/>
    <mergeCell ref="B24:B25"/>
    <mergeCell ref="A26:A27"/>
    <mergeCell ref="B26:B27"/>
    <mergeCell ref="A28:A29"/>
    <mergeCell ref="B28:B29"/>
    <mergeCell ref="A12:A17"/>
    <mergeCell ref="B12:B13"/>
    <mergeCell ref="B14:B15"/>
    <mergeCell ref="B16:B17"/>
    <mergeCell ref="A18:A23"/>
    <mergeCell ref="B18:B19"/>
    <mergeCell ref="B20:B21"/>
    <mergeCell ref="B22:B23"/>
    <mergeCell ref="A4:A5"/>
    <mergeCell ref="B4:B5"/>
    <mergeCell ref="C4:C5"/>
    <mergeCell ref="A6:A11"/>
    <mergeCell ref="B6:B7"/>
    <mergeCell ref="B8:B9"/>
    <mergeCell ref="B10:B1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940861</dc:creator>
  <cp:keywords/>
  <dc:description/>
  <cp:lastModifiedBy>Windows ユーザー</cp:lastModifiedBy>
  <cp:lastPrinted>2022-12-22T06:26:56Z</cp:lastPrinted>
  <dcterms:created xsi:type="dcterms:W3CDTF">2014-02-12T05:25:44Z</dcterms:created>
  <dcterms:modified xsi:type="dcterms:W3CDTF">2023-01-16T05:08:23Z</dcterms:modified>
  <cp:category/>
  <cp:version/>
  <cp:contentType/>
  <cp:contentStatus/>
</cp:coreProperties>
</file>